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vbaProject.bin" ContentType="application/vnd.ms-office.vbaPro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0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799" visibility="visible"/>
  </bookViews>
  <sheets>
    <sheet name="Inicio" sheetId="1" r:id="rId4"/>
    <sheet name="TablasER" sheetId="2" r:id="rId5"/>
    <sheet name="TablasERxDiv" sheetId="3" r:id="rId6"/>
    <sheet name="variacion" sheetId="4" r:id="rId7"/>
    <sheet name="division" sheetId="5" r:id="rId8"/>
    <sheet name="ajustes" sheetId="6" r:id="rId9"/>
    <sheet name="proyeccion" sheetId="7" r:id="rId10"/>
    <sheet name="mxn-dll" sheetId="8" r:id="rId11"/>
    <sheet name="Costos_Gastos" sheetId="9" r:id="rId12"/>
    <sheet name="Tendencias" sheetId="10" r:id="rId13"/>
    <sheet name="FE" sheetId="11" r:id="rId14"/>
    <sheet name="BG" sheetId="12" r:id="rId15"/>
    <sheet name="BDER_sig" sheetId="13" r:id="rId16"/>
    <sheet name="BDER" sheetId="14" r:id="rId17"/>
    <sheet name="BDBG" sheetId="15" r:id="rId18"/>
    <sheet name="BDFE" sheetId="16" r:id="rId19"/>
    <sheet name="ELIM" sheetId="17" r:id="rId20"/>
    <sheet name="otros" sheetId="18" r:id="rId21"/>
  </sheets>
  <definedNames>
    <definedName name="aa_rng_alimeu">'TablasER'!$AM$4:$AM$25</definedName>
    <definedName name="aa_rng_inmoeu">'TablasER'!$AO$4:$AO$25</definedName>
    <definedName name="anexo">'otros'!$A$1:$I$24</definedName>
    <definedName name="bg_activos">'BG'!$B$2:$I$30</definedName>
    <definedName name="bg_pasivos">'BG'!$B$32:$I$56</definedName>
    <definedName name="c_realvsproyeccionvsppto">'variacion'!$Y$2:$AN$24</definedName>
    <definedName name="capital">'Inicio'!$B$7</definedName>
    <definedName name="capital_acum">'Inicio'!$C$7</definedName>
    <definedName name="div_er_acum_alimeu">'TablasERxDiv'!$BG$31:$BS$51</definedName>
    <definedName name="div_er_acum_alimmx">'TablasERxDiv'!$N$31:$AB$53</definedName>
    <definedName name="div_er_acum_auto">'TablasERxDiv'!$B$30:$L$53</definedName>
    <definedName name="div_er_acum_energ">'TablasERxDiv'!$AE$30:$AU$53</definedName>
    <definedName name="div_er_acum_inmeu">'TablasERxDiv'!$BU$31:$CG$51</definedName>
    <definedName name="div_er_acum_inmmx">'TablasERxDiv'!$AW$31:$BE$53</definedName>
    <definedName name="div_er_alimeu">'TablasERxDiv'!$BG$4:$BQ$24</definedName>
    <definedName name="div_er_alimmx">'TablasERxDiv'!$N$4:$AB$26</definedName>
    <definedName name="div_er_auto">'TablasERxDiv'!$B$3:$L$26</definedName>
    <definedName name="div_er_energ">'TablasERxDiv'!$AE$3:$AU$26</definedName>
    <definedName name="div_er_inmeu">'TablasERxDiv'!$BU$4:$CG$24</definedName>
    <definedName name="div_er_inmmx">'TablasERxDiv'!$AW$4:$BE$26</definedName>
    <definedName name="EC_Costos">'Costos_Gastos'!$P$2:$P$14</definedName>
    <definedName name="EC_Costos_Gra">'Costos_Gastos'!$P$2:$P$14</definedName>
    <definedName name="EC_Costos_Imp">'Costos_Gastos'!$A$4:$H$7</definedName>
    <definedName name="EC_Gastos">'Costos_Gastos'!$P$20:$P$40</definedName>
    <definedName name="EC_Gastos_Imp">'Costos_Gastos'!$A$21:$H$24</definedName>
    <definedName name="er_c">'TablasER'!$AX$3:$BH$25</definedName>
    <definedName name="er_c_acum">'TablasER'!$AX$40:$BH$62</definedName>
    <definedName name="er_div_acum_dll">'TablasER'!$B$108:$P$135</definedName>
    <definedName name="er_div_acum_pesos">'TablasER'!$B$40:$P$71</definedName>
    <definedName name="er_div_dll">'TablasER'!$B$76:$P$103</definedName>
    <definedName name="er_div_pesos">'TablasER'!$B$3:$P$34</definedName>
    <definedName name="fe_alimeu">'FE'!$B$195:$M$235</definedName>
    <definedName name="fe_alimeu_acum">'FE'!$B$243:$L$283</definedName>
    <definedName name="fe_alimmx">'FE'!$B$99:$M$139</definedName>
    <definedName name="fe_alimmx_acum">'FE'!$B$147:$M$187</definedName>
    <definedName name="fe_auto">'FE'!$B$3:$M$43</definedName>
    <definedName name="fe_auto_acum">'FE'!$B$51:$M$91</definedName>
    <definedName name="fe_energ">'FE'!$B$389:$M$432</definedName>
    <definedName name="fe_energ_acum">'FE'!$B$440:$M$483</definedName>
    <definedName name="fe_exelco">'FE'!$B$601:$L$644</definedName>
    <definedName name="fe_exelco_acum">'FE'!$B$651:$L$694</definedName>
    <definedName name="fe_inmoeu">'FE'!$B$292:$M$332</definedName>
    <definedName name="fe_inmoeu_acum">'FE'!$B$340:$M$380</definedName>
    <definedName name="fe_inmomx">'FE'!$B$492:$M$538</definedName>
    <definedName name="fe_inmomx_acum">'FE'!$B$546:$M$592</definedName>
    <definedName name="intereses">'Inicio'!$B$6</definedName>
    <definedName name="intereses_acum">'Inicio'!$C$6</definedName>
    <definedName name="mes_alimeu">'Tendencias'!$P$108:$P$114</definedName>
    <definedName name="mes_alimmx">'Tendencias'!$P$51:$P$57</definedName>
    <definedName name="mes_aut">'Tendencias'!$P$70:$P$76</definedName>
    <definedName name="Mes_cierre">'Inicio'!$B$1</definedName>
    <definedName name="mes_energ">'Tendencias'!$P$34:$P$40</definedName>
    <definedName name="mes_inmeu">'Tendencias'!$P$123:$P$129</definedName>
    <definedName name="mes_inmmx">'Tendencias'!$P$90:$P$96</definedName>
    <definedName name="mes_rng_alimeu">'TablasER'!$G$4:$G$34</definedName>
    <definedName name="mes_rng_inmoeu">'TablasER'!$I$4:$I$34</definedName>
    <definedName name="Mes_sig">'Inicio'!$B$2</definedName>
    <definedName name="ppto_rng_alimeu">'TablasER'!$W$4:$W$25</definedName>
    <definedName name="ppto_rng_inmoeu">'TablasER'!$Y$4:$Y$25</definedName>
    <definedName name="proyeccion_div_mes">'variacion'!$BL$2:$BZ$24</definedName>
    <definedName name="proyeccion_div_mes_sig">'variacion'!$BL$27:$BZ$49</definedName>
    <definedName name="proyeccion_mes_sig">'variacion'!$AZ$2:$BJ$24</definedName>
    <definedName name="rng_102_600">'BDER'!$B$222:$P$242</definedName>
    <definedName name="rng_102_610">'BDBG'!$B$542:$I$594</definedName>
    <definedName name="rng_108_600">'BDER'!$B$244:$P$264</definedName>
    <definedName name="rng_108_610">'BDBG'!$B$596:$I$648</definedName>
    <definedName name="rng_109_600">'BDER'!$B$266:$P$286</definedName>
    <definedName name="rng_109_610">'BDBG'!$B$650:$I$702</definedName>
    <definedName name="rng_201_600">'BDER'!$B$2:$L$22</definedName>
    <definedName name="rng_201_605">'BDFE'!$B$2:$F$71</definedName>
    <definedName name="rng_201_610">'BDBG'!$B$2:$I$54</definedName>
    <definedName name="rng_202_600">'BDER'!$B$24:$L$44</definedName>
    <definedName name="rng_202_605">'BDFE'!$B$73:$F$142</definedName>
    <definedName name="rng_202_610">'BDBG'!$B$56:$I$108</definedName>
    <definedName name="rng_203_600">'BDER'!$B$46:$L$66</definedName>
    <definedName name="rng_203_603">'BDFE'!$B$144:$F$213</definedName>
    <definedName name="rng_203_610">'BDBG'!$B$110:$I$162</definedName>
    <definedName name="rng_204_600">'BDER'!$B$68:$L$88</definedName>
    <definedName name="rng_204_605">'BDFE'!$B$215:$F$284</definedName>
    <definedName name="rng_204_610">'BDBG'!$B$164:$I$216</definedName>
    <definedName name="rng_208_600">'BDER'!$B$90:$L$110</definedName>
    <definedName name="rng_208_605">'BDFE'!$B$286:$F$355</definedName>
    <definedName name="rng_208_610">'BDBG'!$B$218:$I$270</definedName>
    <definedName name="rng_301_600">'BDER'!$B$288:$Q$308</definedName>
    <definedName name="rng_301_605">'BDFE'!$B$708:$F$779</definedName>
    <definedName name="rng_301_610">'BDBG'!$B$704:$I$756</definedName>
    <definedName name="rng_303_600">'BDER'!$B$310:$Q$330</definedName>
    <definedName name="rng_303_605">'BDFE'!$B$781:$F$852</definedName>
    <definedName name="rng_303_610">'BDBG'!$B$758:$I$811</definedName>
    <definedName name="rng_305_600">'BDER'!$B$332:$I$352</definedName>
    <definedName name="rng_305_605">'BDFE'!$B$854:$F$925</definedName>
    <definedName name="rng_305_610">'BDBG'!$B$813:$I$865</definedName>
    <definedName name="rng_307_600">'BDER'!$B$354:$Q$374</definedName>
    <definedName name="rng_307_605">'BDFE'!$B$927:$F$998</definedName>
    <definedName name="rng_307_610">'BDBG'!$B$867:$I$919</definedName>
    <definedName name="rng_309_600">'BDER'!$B$376:$Q$396</definedName>
    <definedName name="rng_309_605">'BDFE'!$B$1000:$F$1071</definedName>
    <definedName name="rng_309_610">'BDBG'!$B$921:$I$973</definedName>
    <definedName name="rng_312_600">'BDER'!$B$398:$Q$418</definedName>
    <definedName name="rng_312_605">'BDFE'!$B$1073:$F$1144</definedName>
    <definedName name="rng_312_610">'BDBG'!$B$975:$I$1027</definedName>
    <definedName name="rng_503_600">'BDER'!$B$134:$S$154</definedName>
    <definedName name="rng_503_605">'BDFE'!$B$428:$F$496</definedName>
    <definedName name="rng_503_610">'BDBG'!$B$326:$I$378</definedName>
    <definedName name="rng_506_600">'BDER'!$B$156:$S$176</definedName>
    <definedName name="rng_506_605">'BDFE'!$B$498:$F$566</definedName>
    <definedName name="rng_506_610">'BDBG'!$B$380:$I$432</definedName>
    <definedName name="rng_508_600">'BDER'!$B$178:$S$198</definedName>
    <definedName name="rng_508_605">'BDFE'!$B$568:$F$636</definedName>
    <definedName name="rng_508_610">'BDBG'!$B$434:$I$486</definedName>
    <definedName name="rng_512_600">'BDER'!$B$200:$S$220</definedName>
    <definedName name="rng_512_605">'BDFE'!$B$638:$F$706</definedName>
    <definedName name="rng_512_610">'BDBG'!$B$488:$I$540</definedName>
    <definedName name="rng_602_600">'BDER'!$B$112:$L$132</definedName>
    <definedName name="rng_602_605">'BDFE'!$B$357:$F$426</definedName>
    <definedName name="rng_602_610">'BDBG'!$B$272:$I$324</definedName>
    <definedName name="rng_613_600">'BDER'!$B$420:$S$440</definedName>
    <definedName name="rng_613_610">'BDBG'!$B$1029:$I$1081</definedName>
    <definedName name="rng_613_650">'BDFE'!$B$1146:$F$1209</definedName>
    <definedName name="rng_615_600">'BDER'!$B$442:$S$462</definedName>
    <definedName name="rng_615_610">'BDBG'!$B$1083:$I$1135</definedName>
    <definedName name="rng_615_650">'BDFE'!$B$1211:$F$1274</definedName>
    <definedName name="rng_804_600">'BDER'!$B$464:$P$485</definedName>
    <definedName name="rng_804_605">'BDFE'!$B$1276:$F$1347</definedName>
    <definedName name="rng_804_610">'BDBG'!$B$1137:$I$1189</definedName>
    <definedName name="rng_805_600">'BDER'!$B$487:$P$508</definedName>
    <definedName name="rng_805_605">'BDFE'!$B$1349:$F$1420</definedName>
    <definedName name="rng_805_610">'BDBG'!$B$1191:$I$1243</definedName>
    <definedName name="rng_807_600">'BDER'!$B$510:$P$530</definedName>
    <definedName name="rng_807_605">'BDFE'!$B$1422:$F$1493</definedName>
    <definedName name="rng_807_610">'BDBG'!$B$1245:$I$1297</definedName>
    <definedName name="rng_808_600">'BDER'!$B$532:$P$552</definedName>
    <definedName name="rng_808_605">'BDFE'!$B$1495:$F$1566</definedName>
    <definedName name="rng_808_610">'BDBG'!$B$1299:$I$1351</definedName>
    <definedName name="rng_811_600">'BDER'!$B$554:$P$575</definedName>
    <definedName name="rng_811_605">'BDFE'!$B$1568:$F$1639</definedName>
    <definedName name="rng_811_610">'BDBG'!$B$1353:$I$1405</definedName>
    <definedName name="rng_812_600">'BDER'!$B$577:$P$597</definedName>
    <definedName name="rng_812_605">'BDFE'!$B$1641:$F$1712</definedName>
    <definedName name="rng_812_610">'BDBG'!$B$1407:$I$1459</definedName>
    <definedName name="rng_813_600">'BDER'!$B$599:$P$620</definedName>
    <definedName name="rng_813_605">'BDFE'!$B$1714:$F$1785</definedName>
    <definedName name="rng_813_610">'BDBG'!$B$1461:$I$1513</definedName>
    <definedName name="rng_816_600">'BDER'!$B$622:$P$642</definedName>
    <definedName name="rng_816_605">'BDFE'!$B$1787:$F$1858</definedName>
    <definedName name="rng_816_610">'BDBG'!$B$1515:$I$1567</definedName>
    <definedName name="rng_817_600">'BDER'!$B$644:$P$664</definedName>
    <definedName name="rng_817_605">'BDFE'!$B$1860:$F$1931</definedName>
    <definedName name="rng_817_610">'BDBG'!$B$1569:$I$1621</definedName>
    <definedName name="TC_MES">'Inicio'!$B$4</definedName>
    <definedName name="TC_PROM">'Inicio'!$B$5</definedName>
    <definedName name="TC_PROY">'Inicio'!$B$8</definedName>
    <definedName name="TC_PROY_SIG">'Inicio'!$B$9</definedName>
    <definedName name="tend_alimentoseu">'Tendencias'!$A$107:$M$114</definedName>
    <definedName name="tend_alimentosmx">'Tendencias'!$A$50:$M$57</definedName>
    <definedName name="tend_automotriz">'Tendencias'!$A$69:$M$76</definedName>
    <definedName name="tend_energeticos">'Tendencias'!$A$33:$M$40</definedName>
    <definedName name="tend_exelco">'Tendencias'!$A$3:$M$10</definedName>
    <definedName name="tend_inmobiliaria">'Tendencias'!$A$89:$M$96</definedName>
    <definedName name="tend_inmobiliariaeu">'Tendencias'!$A$122:$M$129</definedName>
    <definedName name="tend_mex_eu">'Tendencias'!$B$186:$I$211</definedName>
    <definedName name="titulo_102_600">'BDER'!$A$221:$Q$221</definedName>
    <definedName name="titulo_102_610">'BDBG'!$A$541:$J$541</definedName>
    <definedName name="titulo_108_600">'BDER'!$A$243:$Q$243</definedName>
    <definedName name="titulo_108_610">'BDBG'!$A$595:$J$595</definedName>
    <definedName name="titulo_109_600">'BDER'!$A$265:$Q$265</definedName>
    <definedName name="titulo_109_610">'BDBG'!$A$649:$J$649</definedName>
    <definedName name="titulo_201_600">'BDER'!$A$1:$M$1</definedName>
    <definedName name="titulo_201_605">'BDFE'!$A$1:$G$1</definedName>
    <definedName name="titulo_201_610">'BDBG'!$A$1:$J$1</definedName>
    <definedName name="titulo_202_600">'BDER'!$A$23:$M$23</definedName>
    <definedName name="titulo_202_605">'BDFE'!$A$72:$G$72</definedName>
    <definedName name="titulo_202_610">'BDBG'!$A$55:$J$55</definedName>
    <definedName name="titulo_203_600">'BDER'!$A$45:$M$45</definedName>
    <definedName name="titulo_203_603">'BDFE'!$A$143:$G$143</definedName>
    <definedName name="titulo_203_610">'BDBG'!$A$109:$J$109</definedName>
    <definedName name="titulo_204_600">'BDER'!$A$67:$M$67</definedName>
    <definedName name="titulo_204_605">'BDFE'!$A$214:$G$214</definedName>
    <definedName name="titulo_204_610">'BDBG'!$A$163:$J$163</definedName>
    <definedName name="titulo_208_600">'BDER'!$A$89:$M$89</definedName>
    <definedName name="titulo_208_605">'BDFE'!$A$285:$G$285</definedName>
    <definedName name="titulo_208_610">'BDBG'!$A$217:$J$217</definedName>
    <definedName name="titulo_301_600">'BDER'!$A$287:$R$287</definedName>
    <definedName name="titulo_301_605">'BDFE'!$A$707:$G$707</definedName>
    <definedName name="titulo_301_610">'BDBG'!$A$703:$J$703</definedName>
    <definedName name="titulo_303_600">'BDER'!$A$309:$R$309</definedName>
    <definedName name="titulo_303_605">'BDFE'!$A$780:$G$780</definedName>
    <definedName name="titulo_303_610">'BDBG'!$A$757:$J$757</definedName>
    <definedName name="titulo_305_600">'BDER'!$A$331:$J$331</definedName>
    <definedName name="titulo_305_605">'BDFE'!$A$853:$G$853</definedName>
    <definedName name="titulo_305_610">'BDBG'!$A$812:$J$812</definedName>
    <definedName name="titulo_307_600">'BDER'!$A$353:$R$353</definedName>
    <definedName name="titulo_307_605">'BDFE'!$A$926:$G$926</definedName>
    <definedName name="titulo_307_610">'BDBG'!$A$866:$J$866</definedName>
    <definedName name="titulo_309_600">'BDER'!$A$375:$R$375</definedName>
    <definedName name="titulo_309_605">'BDFE'!$A$999:$G$999</definedName>
    <definedName name="titulo_309_610">'BDBG'!$A$920:$J$920</definedName>
    <definedName name="titulo_312_600">'BDER'!$A$397:$R$397</definedName>
    <definedName name="titulo_312_605">'BDFE'!$A$1072:$G$1072</definedName>
    <definedName name="titulo_312_610">'BDBG'!$A$974:$J$974</definedName>
    <definedName name="titulo_503_600">'BDER'!$A$133:$T$133</definedName>
    <definedName name="titulo_503_605">'BDFE'!$A$427:$G$427</definedName>
    <definedName name="titulo_503_610">'BDBG'!$A$325:$J$325</definedName>
    <definedName name="titulo_506_600">'BDER'!$A$155:$T$155</definedName>
    <definedName name="titulo_506_605">'BDFE'!$A$497:$G$497</definedName>
    <definedName name="titulo_506_610">'BDBG'!$A$379:$J$379</definedName>
    <definedName name="titulo_508_600">'BDER'!$A$177:$T$177</definedName>
    <definedName name="titulo_508_605">'BDFE'!$A$567:$G$567</definedName>
    <definedName name="titulo_508_610">'BDBG'!$A$433:$J$433</definedName>
    <definedName name="titulo_512_600">'BDER'!$A$199:$T$199</definedName>
    <definedName name="titulo_512_605">'BDFE'!$A$637:$G$637</definedName>
    <definedName name="titulo_512_610">'BDBG'!$A$487:$J$487</definedName>
    <definedName name="titulo_602_600">'BDER'!$A$111:$M$111</definedName>
    <definedName name="titulo_602_605">'BDFE'!$A$356:$G$356</definedName>
    <definedName name="titulo_602_610">'BDBG'!$A$271:$J$271</definedName>
    <definedName name="titulo_613_600">'BDER'!$A$419:$T$419</definedName>
    <definedName name="titulo_613_610">'BDBG'!$A$1028:$J$1028</definedName>
    <definedName name="titulo_613_650">'BDFE'!$A$1145:$G$1145</definedName>
    <definedName name="titulo_615_600">'BDER'!$A$441:$T$441</definedName>
    <definedName name="titulo_615_610">'BDBG'!$A$1082:$J$1082</definedName>
    <definedName name="titulo_615_650">'BDFE'!$A$1210:$G$1210</definedName>
    <definedName name="titulo_804_600">'BDER'!$A$463:$Q$463</definedName>
    <definedName name="titulo_804_605">'BDFE'!$A$1275:$G$1275</definedName>
    <definedName name="titulo_804_610">'BDBG'!$A$1136:$J$1136</definedName>
    <definedName name="titulo_805_600">'BDER'!$A$486:$Q$486</definedName>
    <definedName name="titulo_805_605">'BDFE'!$A$1348:$G$1348</definedName>
    <definedName name="titulo_805_610">'BDBG'!$A$1190:$J$1190</definedName>
    <definedName name="titulo_807_600">'BDER'!$A$509:$Q$509</definedName>
    <definedName name="titulo_807_605">'BDFE'!$A$1421:$G$1421</definedName>
    <definedName name="titulo_807_610">'BDBG'!$A$1244:$J$1244</definedName>
    <definedName name="titulo_808_600">'BDER'!$A$531:$Q$531</definedName>
    <definedName name="titulo_808_605">'BDFE'!$A$1494:$G$1494</definedName>
    <definedName name="titulo_808_610">'BDBG'!$A$1298:$J$1298</definedName>
    <definedName name="titulo_811_600">'BDER'!$A$553:$Q$553</definedName>
    <definedName name="titulo_811_605">'BDFE'!$A$1567:$G$1567</definedName>
    <definedName name="titulo_811_610">'BDBG'!$A$1352:$J$1352</definedName>
    <definedName name="titulo_812_600">'BDER'!$A$576:$Q$576</definedName>
    <definedName name="titulo_812_605">'BDFE'!$A$1640:$G$1640</definedName>
    <definedName name="titulo_812_610">'BDBG'!$A$1406:$J$1406</definedName>
    <definedName name="titulo_813_600">'BDER'!$A$598:$Q$598</definedName>
    <definedName name="titulo_813_605">'BDFE'!$A$1713:$G$1713</definedName>
    <definedName name="titulo_813_610">'BDBG'!$A$1460:$J$1460</definedName>
    <definedName name="titulo_816_600">'BDER'!$A$621:$Q$621</definedName>
    <definedName name="titulo_816_605">'BDFE'!$A$1786:$G$1786</definedName>
    <definedName name="titulo_816_610">'BDBG'!$A$1514:$J$1514</definedName>
    <definedName name="titulo_817_600">'BDER'!$A$643:$Q$643</definedName>
    <definedName name="titulo_817_605">'BDFE'!$A$1859:$G$1859</definedName>
    <definedName name="titulo_817_610">'BDBG'!$A$1568:$J$1568</definedName>
    <definedName name="var_ppto_divs">'variacion'!$B$3:$V$25</definedName>
    <definedName name="var_py_divs">'variacion'!$B$29:$V$51</definedName>
    <definedName name="var_realvsppto">'variacion'!$B$2:$V$25</definedName>
    <definedName name="var_realvsproyeccion">'variacion'!$B$28:$V$51</definedName>
    <definedName name="Z_B1EDEF4C_89DF_4126_A83B_947936932253_.wvu.Cols" localSheetId="8">'Costos_Gastos'!$I:$L</definedName>
    <definedName name="Z_B1EDEF4C_89DF_4126_A83B_947936932253_.wvu.PrintArea" localSheetId="8">'Costos_Gastos'!$A$1:$L$43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<sst xmlns="http://schemas.openxmlformats.org/spreadsheetml/2006/main" uniqueCount="728">
  <si>
    <t>Mes_cierre</t>
  </si>
  <si>
    <t>Mes_sig</t>
  </si>
  <si>
    <t>mes</t>
  </si>
  <si>
    <t>acum</t>
  </si>
  <si>
    <t>TC_MES</t>
  </si>
  <si>
    <t>TC_PROM</t>
  </si>
  <si>
    <t>intereses</t>
  </si>
  <si>
    <t>capital</t>
  </si>
  <si>
    <t>TC_PROY</t>
  </si>
  <si>
    <t>TC_PROY_SIG</t>
  </si>
  <si>
    <t>Real Mes</t>
  </si>
  <si>
    <t>Ppto Mes:</t>
  </si>
  <si>
    <t>AA Mes:</t>
  </si>
  <si>
    <t xml:space="preserve">12. EXELCO ER Consolidado Julio 2019(miles de pesos) 
</t>
  </si>
  <si>
    <t>Auto</t>
  </si>
  <si>
    <t>Alim MX</t>
  </si>
  <si>
    <t>Alim EU</t>
  </si>
  <si>
    <t>Inmob EU</t>
  </si>
  <si>
    <t>Energ</t>
  </si>
  <si>
    <t>Inmob MX</t>
  </si>
  <si>
    <t>Grupo</t>
  </si>
  <si>
    <t>Real</t>
  </si>
  <si>
    <t>Ppto</t>
  </si>
  <si>
    <t>AA</t>
  </si>
  <si>
    <t>vs Ppto</t>
  </si>
  <si>
    <t>vs. AA</t>
  </si>
  <si>
    <t>Vts. Netas</t>
  </si>
  <si>
    <t>Costo. Dir.</t>
  </si>
  <si>
    <t>C. Marginal</t>
  </si>
  <si>
    <t>Gts. Venta</t>
  </si>
  <si>
    <t>Gts. Admón</t>
  </si>
  <si>
    <t>Dep. y Amtz.</t>
  </si>
  <si>
    <t>Total Gts. Op.</t>
  </si>
  <si>
    <t>UAFIR</t>
  </si>
  <si>
    <t>UAFIR a. G.Corp</t>
  </si>
  <si>
    <t>Serv. Corp.</t>
  </si>
  <si>
    <t>Perd. o Ut. Camb.</t>
  </si>
  <si>
    <t>Gastos Extraordinarios</t>
  </si>
  <si>
    <t>OG y OI</t>
  </si>
  <si>
    <t>Gts. Fin.</t>
  </si>
  <si>
    <t>Prod. Fin.</t>
  </si>
  <si>
    <t>CIF</t>
  </si>
  <si>
    <t>UAIR</t>
  </si>
  <si>
    <t xml:space="preserve">ISR </t>
  </si>
  <si>
    <t>ISR</t>
  </si>
  <si>
    <t>OTROS</t>
  </si>
  <si>
    <t>Otros</t>
  </si>
  <si>
    <t>Ut. Neta</t>
  </si>
  <si>
    <t>UAFIR Flujo</t>
  </si>
  <si>
    <t>Ut. Neta Flujo</t>
  </si>
  <si>
    <t>Amortizacion</t>
  </si>
  <si>
    <t>capital - intereses</t>
  </si>
  <si>
    <t>UNF - Amort</t>
  </si>
  <si>
    <t>Aportaciones</t>
  </si>
  <si>
    <t>UNF - Amort - Aport</t>
  </si>
  <si>
    <t>Acum Ppto</t>
  </si>
  <si>
    <t>Acum AA:</t>
  </si>
  <si>
    <t xml:space="preserve">13. EXELCO ER Consolidado acumulado a Julio 2019(miles de pesos) 
</t>
  </si>
  <si>
    <t>Real Mes dll:</t>
  </si>
  <si>
    <t xml:space="preserve">16. EXELCO ER Consolidado por División (miles dlls.) 
</t>
  </si>
  <si>
    <t>Inmob</t>
  </si>
  <si>
    <t>*cambiar tc_mes a tc_prom</t>
  </si>
  <si>
    <t>Real Acumulado dll:</t>
  </si>
  <si>
    <t xml:space="preserve">17. EXELCO ER Consolidado por División acumulado (miles dlls.) 
</t>
  </si>
  <si>
    <t>MES</t>
  </si>
  <si>
    <t>Division autmotriz</t>
  </si>
  <si>
    <t>Eliminaciones</t>
  </si>
  <si>
    <t>Division energeticos</t>
  </si>
  <si>
    <t>Sserv</t>
  </si>
  <si>
    <t>Tuxpan</t>
  </si>
  <si>
    <t>SSAG</t>
  </si>
  <si>
    <t>Sserv. Autos</t>
  </si>
  <si>
    <t>División</t>
  </si>
  <si>
    <t>Division Alimentos</t>
  </si>
  <si>
    <t>Elsa</t>
  </si>
  <si>
    <t>Golfo</t>
  </si>
  <si>
    <t>Gasero</t>
  </si>
  <si>
    <t>Gas. Q</t>
  </si>
  <si>
    <t>Nord</t>
  </si>
  <si>
    <t>Tajin</t>
  </si>
  <si>
    <t>ExCarb</t>
  </si>
  <si>
    <t>Division Inmobiliaria</t>
  </si>
  <si>
    <t>Division Alimentos EU</t>
  </si>
  <si>
    <t>Division Inmobiliaria EU</t>
  </si>
  <si>
    <t>Unidades</t>
  </si>
  <si>
    <t>RYSF</t>
  </si>
  <si>
    <t>RSR</t>
  </si>
  <si>
    <t>ESM</t>
  </si>
  <si>
    <t>Dival</t>
  </si>
  <si>
    <t>PAC</t>
  </si>
  <si>
    <t>Capsa</t>
  </si>
  <si>
    <t>Kg.</t>
  </si>
  <si>
    <t>Inm. Exelco</t>
  </si>
  <si>
    <t>SILN</t>
  </si>
  <si>
    <t>PDS</t>
  </si>
  <si>
    <t>PDC</t>
  </si>
  <si>
    <t>PZZS</t>
  </si>
  <si>
    <t>PZZG</t>
  </si>
  <si>
    <t>Prov.</t>
  </si>
  <si>
    <t>Sunny</t>
  </si>
  <si>
    <t>Tes. Real.</t>
  </si>
  <si>
    <t>Tes. Vent.</t>
  </si>
  <si>
    <t>Tes. Prop.</t>
  </si>
  <si>
    <t>Sales</t>
  </si>
  <si>
    <t>Direct Cost</t>
  </si>
  <si>
    <t>Gross profit</t>
  </si>
  <si>
    <t>Sales expenses</t>
  </si>
  <si>
    <t>Managerial expenses</t>
  </si>
  <si>
    <t>Deprec &amp; amortiz.</t>
  </si>
  <si>
    <t>Total operating expenses</t>
  </si>
  <si>
    <t>Operating profit</t>
  </si>
  <si>
    <t>Other income</t>
  </si>
  <si>
    <t>Financial expenses</t>
  </si>
  <si>
    <t>Financial income</t>
  </si>
  <si>
    <t>Financial costs</t>
  </si>
  <si>
    <t>REPOMO</t>
  </si>
  <si>
    <t>Earnings before tax</t>
  </si>
  <si>
    <t>Income Tax</t>
  </si>
  <si>
    <t>Franchise tax</t>
  </si>
  <si>
    <t>Net profit</t>
  </si>
  <si>
    <t>EBITDA</t>
  </si>
  <si>
    <t>ACUMULADO</t>
  </si>
  <si>
    <t>SW</t>
  </si>
  <si>
    <t>Variacion Real vs Ppto</t>
  </si>
  <si>
    <t>mes actual</t>
  </si>
  <si>
    <t>COMPARATIVO CONSOLIDADO REAL VS PROYECCION  VS PPTO</t>
  </si>
  <si>
    <t>Ppto Mes sig:</t>
  </si>
  <si>
    <t>Proyeccion mes sig</t>
  </si>
  <si>
    <t>divisiones proyectadas mes actual</t>
  </si>
  <si>
    <t>Variac.</t>
  </si>
  <si>
    <t>%</t>
  </si>
  <si>
    <t>Proyec.</t>
  </si>
  <si>
    <t>Ppto.</t>
  </si>
  <si>
    <t>Proyectado</t>
  </si>
  <si>
    <t>Total</t>
  </si>
  <si>
    <t>AA Mes sig:</t>
  </si>
  <si>
    <t>divisiones proyectadas mes sig</t>
  </si>
  <si>
    <t>Variacion Real vs Proyeccion</t>
  </si>
  <si>
    <t>*verificar resultado</t>
  </si>
  <si>
    <t>alimentos mx</t>
  </si>
  <si>
    <t>automotriz</t>
  </si>
  <si>
    <t>corporativo</t>
  </si>
  <si>
    <t>energticos</t>
  </si>
  <si>
    <t>inmobiliaria</t>
  </si>
  <si>
    <t>usa alimentos</t>
  </si>
  <si>
    <t>real estate</t>
  </si>
  <si>
    <t>tc</t>
  </si>
  <si>
    <t>S. Deuda</t>
  </si>
  <si>
    <t>Pagos Ext</t>
  </si>
  <si>
    <t>Serv. Corp</t>
  </si>
  <si>
    <t>Gast. Ext</t>
  </si>
  <si>
    <t>amoritzacion</t>
  </si>
  <si>
    <t>aportaciones</t>
  </si>
  <si>
    <t>per-gan</t>
  </si>
  <si>
    <t>acumulado</t>
  </si>
  <si>
    <t>Mes</t>
  </si>
  <si>
    <t>unidades / kg</t>
  </si>
  <si>
    <t>Eficiencia</t>
  </si>
  <si>
    <t>Acumulado</t>
  </si>
  <si>
    <t>Mes Proyectado</t>
  </si>
  <si>
    <t>energeticos</t>
  </si>
  <si>
    <t>Ppto Proyectado</t>
  </si>
  <si>
    <t>AA Proyectado</t>
  </si>
  <si>
    <t>Mes Sig. Proyectado</t>
  </si>
  <si>
    <t>Alim EU mes por mes</t>
  </si>
  <si>
    <t>Inmob EU mes por mes</t>
  </si>
  <si>
    <t>ene</t>
  </si>
  <si>
    <t>feb</t>
  </si>
  <si>
    <t>Mzo</t>
  </si>
  <si>
    <t>abril</t>
  </si>
  <si>
    <t>Mayo</t>
  </si>
  <si>
    <t>jun</t>
  </si>
  <si>
    <t>jul</t>
  </si>
  <si>
    <t>ago</t>
  </si>
  <si>
    <t>sept</t>
  </si>
  <si>
    <t>oct</t>
  </si>
  <si>
    <t>nov</t>
  </si>
  <si>
    <t>dic</t>
  </si>
  <si>
    <t>sum</t>
  </si>
  <si>
    <t>Alim EU Acum Ppto</t>
  </si>
  <si>
    <t>Inmob EU Acum Ppto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</si>
  <si>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</si>
  <si>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</si>
  <si>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</si>
  <si>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</si>
  <si>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</si>
  <si>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</si>
  <si>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</si>
  <si>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</si>
  <si>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</si>
  <si>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</si>
  <si>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</si>
  <si>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Alim EU Acum AA</t>
  </si>
  <si>
    <t>Inmob EU Acum AA</t>
  </si>
  <si>
    <t>Costos</t>
  </si>
  <si>
    <t>Exelco</t>
  </si>
  <si>
    <t>Alim Mx</t>
  </si>
  <si>
    <t>Acum.</t>
  </si>
  <si>
    <t>Gastos</t>
  </si>
  <si>
    <t>GRUPO EXELCO</t>
  </si>
  <si>
    <t>E</t>
  </si>
  <si>
    <t>F</t>
  </si>
  <si>
    <t>M</t>
  </si>
  <si>
    <t>A</t>
  </si>
  <si>
    <t>J</t>
  </si>
  <si>
    <t>S</t>
  </si>
  <si>
    <t>O</t>
  </si>
  <si>
    <t>N</t>
  </si>
  <si>
    <t>D</t>
  </si>
  <si>
    <t>Pagos Ext.</t>
  </si>
  <si>
    <t>UAFIR FL./V.R.</t>
  </si>
  <si>
    <t>UAFIR FL./V.P.</t>
  </si>
  <si>
    <t>DIVISION CORPORATIVO</t>
  </si>
  <si>
    <t>Pasivos Dlls:</t>
  </si>
  <si>
    <t xml:space="preserve">Exelco IBC </t>
  </si>
  <si>
    <t>Inm Superservicio IBC</t>
  </si>
  <si>
    <t>Exelco de Mexico IBC</t>
  </si>
  <si>
    <t>Pasivos Mx:</t>
  </si>
  <si>
    <t>Decinsa - Bcomer LP</t>
  </si>
  <si>
    <t>Gtos. Fin Corp.</t>
  </si>
  <si>
    <t>s.d. Corp</t>
  </si>
  <si>
    <t>Amort. Corp.</t>
  </si>
  <si>
    <t>Mensual</t>
  </si>
  <si>
    <t>INICIO DIVISIONES</t>
  </si>
  <si>
    <t>DIVISION ENERGETICOS</t>
  </si>
  <si>
    <t>Exelco Carburantes IBC</t>
  </si>
  <si>
    <t>ALIFSA IBC</t>
  </si>
  <si>
    <t>GAS ELSA</t>
  </si>
  <si>
    <t>SILSA-IBC</t>
  </si>
  <si>
    <t>GAS ELSA IBC</t>
  </si>
  <si>
    <t>Gasificadora - Bcomer LP</t>
  </si>
  <si>
    <t>Gas Elsa - Bcomer LP</t>
  </si>
  <si>
    <t>Exelco Carburantes - Bcomer LP</t>
  </si>
  <si>
    <t>ACUM</t>
  </si>
  <si>
    <t>DIVISION ALIMENTOS</t>
  </si>
  <si>
    <t>RYSF-IBC</t>
  </si>
  <si>
    <t>Rysf-BanRegio LP</t>
  </si>
  <si>
    <t>Rysf-Bancomer LP</t>
  </si>
  <si>
    <t>Rysf-Santander LP</t>
  </si>
  <si>
    <t>Exelco Suppy-Bcomer LP</t>
  </si>
  <si>
    <t>RDSR - Bcomer LP</t>
  </si>
  <si>
    <t>DIVISION AUTOMOTRIZ</t>
  </si>
  <si>
    <t>Superserv-Santander LP</t>
  </si>
  <si>
    <t>Superserv-Bcomer CP</t>
  </si>
  <si>
    <t>ATSA-Bancomer CP</t>
  </si>
  <si>
    <t>DIVISION INMOBILIARIA</t>
  </si>
  <si>
    <t>ALIMENTOS EU DLLS</t>
  </si>
  <si>
    <t xml:space="preserve"> Pasivos Dlls:</t>
  </si>
  <si>
    <t xml:space="preserve"> Pasivos Mx:</t>
  </si>
  <si>
    <t>INMOBILIARIA EU DLLS</t>
  </si>
  <si>
    <t>FIN DIVISIONES</t>
  </si>
  <si>
    <t>TIPOS DE CAMBIO</t>
  </si>
  <si>
    <t>Actual</t>
  </si>
  <si>
    <t>ppto</t>
  </si>
  <si>
    <t>TC  ants de Modificar Variables</t>
  </si>
  <si>
    <t>ALIMENTOS EUA PESOS</t>
  </si>
  <si>
    <t>INMOBILIARIA EUA PESOS</t>
  </si>
  <si>
    <t>EMPRESAS MEXICANAS</t>
  </si>
  <si>
    <t>COMPULSA</t>
  </si>
  <si>
    <t>MILES DE PESOS</t>
  </si>
  <si>
    <t>MILES DE DOLARES</t>
  </si>
  <si>
    <t>Division Automotriz</t>
  </si>
  <si>
    <t xml:space="preserve">Flujo de efectivo </t>
  </si>
  <si>
    <t>Tuxp</t>
  </si>
  <si>
    <t xml:space="preserve">Generacion Bruta                        </t>
  </si>
  <si>
    <t>Variaciones C de T.</t>
  </si>
  <si>
    <t xml:space="preserve">Clientes                                </t>
  </si>
  <si>
    <t xml:space="preserve">Deudores Diversos                       </t>
  </si>
  <si>
    <t xml:space="preserve">Inventarios                             </t>
  </si>
  <si>
    <t xml:space="preserve">Pagos Anticipados                       </t>
  </si>
  <si>
    <t xml:space="preserve">Proveedores                             </t>
  </si>
  <si>
    <t xml:space="preserve">Acreedores diversos                     </t>
  </si>
  <si>
    <t xml:space="preserve">Gts. Ac. por pagar                      </t>
  </si>
  <si>
    <t xml:space="preserve">Partidas no Operativas                  </t>
  </si>
  <si>
    <t xml:space="preserve">Documentos x pagar a LP                 </t>
  </si>
  <si>
    <t xml:space="preserve">Otros Pasivos LP                        </t>
  </si>
  <si>
    <t xml:space="preserve">Capital Social                          </t>
  </si>
  <si>
    <t xml:space="preserve">Aport. Para Fut Aum Capital             </t>
  </si>
  <si>
    <t>Reservas</t>
  </si>
  <si>
    <t xml:space="preserve">Res. Ej. Anteriores                     </t>
  </si>
  <si>
    <t xml:space="preserve">Total Partidas no Operativas            </t>
  </si>
  <si>
    <t xml:space="preserve">Inversiones                             </t>
  </si>
  <si>
    <t xml:space="preserve">Edificios                               </t>
  </si>
  <si>
    <t xml:space="preserve">Maquinaria y Equipo                     </t>
  </si>
  <si>
    <t xml:space="preserve">Equipo de Transporte                    </t>
  </si>
  <si>
    <t xml:space="preserve">Equipo Electronico                      </t>
  </si>
  <si>
    <t xml:space="preserve">Mob. y Eq. Oficina                      </t>
  </si>
  <si>
    <t xml:space="preserve">Dep. En Garantía                        </t>
  </si>
  <si>
    <t xml:space="preserve">Gts. Instalación                        </t>
  </si>
  <si>
    <t xml:space="preserve">Gts. Organización                       </t>
  </si>
  <si>
    <t xml:space="preserve">Const. Terr. Arrendados                 </t>
  </si>
  <si>
    <t xml:space="preserve">Inv. y Mejoras Inm. Arrend              </t>
  </si>
  <si>
    <t xml:space="preserve">Inversiones por realizar                </t>
  </si>
  <si>
    <t xml:space="preserve">Inversiones en acciones                 </t>
  </si>
  <si>
    <t xml:space="preserve">Total Inversiones                       </t>
  </si>
  <si>
    <t xml:space="preserve">Flujo Neto                              </t>
  </si>
  <si>
    <t>S.Ini</t>
  </si>
  <si>
    <t>S. F.</t>
  </si>
  <si>
    <t>*contruccion cuenta</t>
  </si>
  <si>
    <t>Ac</t>
  </si>
  <si>
    <t xml:space="preserve"> </t>
  </si>
  <si>
    <t>Div</t>
  </si>
  <si>
    <t>Division Alimentos Mx</t>
  </si>
  <si>
    <t>RySF</t>
  </si>
  <si>
    <t>Inm. C</t>
  </si>
  <si>
    <t>Division Alimentos EUA</t>
  </si>
  <si>
    <t>Division Inmobiliaria EUA</t>
  </si>
  <si>
    <t>Tes Relty</t>
  </si>
  <si>
    <t>Tes Prop</t>
  </si>
  <si>
    <t>Tes Vent</t>
  </si>
  <si>
    <t>Prov</t>
  </si>
  <si>
    <t>Division Energeticos</t>
  </si>
  <si>
    <t>GasQ</t>
  </si>
  <si>
    <t>Construcciones en proceso</t>
  </si>
  <si>
    <t>Utilidad x participación en afiliadas</t>
  </si>
  <si>
    <t>Ac.</t>
  </si>
  <si>
    <t>División Inmobiliaria MX</t>
  </si>
  <si>
    <t>Generación Bruta</t>
  </si>
  <si>
    <t xml:space="preserve">Documentos por cobrar                   </t>
  </si>
  <si>
    <t xml:space="preserve">Utilidad por realizar                   </t>
  </si>
  <si>
    <t xml:space="preserve">Documentos x pagar                      </t>
  </si>
  <si>
    <t>Intereses y utilidad x vts en Abonos</t>
  </si>
  <si>
    <t xml:space="preserve">Terrenos                                </t>
  </si>
  <si>
    <t xml:space="preserve">Inversiones por amortizar          </t>
  </si>
  <si>
    <t xml:space="preserve">Construcción en Proceso                 </t>
  </si>
  <si>
    <t>Dep y Amtz.</t>
  </si>
  <si>
    <t>*construccion en proceso verificar</t>
  </si>
  <si>
    <t xml:space="preserve">Grupo </t>
  </si>
  <si>
    <t>Generacion Bruta</t>
  </si>
  <si>
    <t>Clientes</t>
  </si>
  <si>
    <t>Deudores Diversos</t>
  </si>
  <si>
    <t>Inventarios</t>
  </si>
  <si>
    <t>Pagos Anticipados</t>
  </si>
  <si>
    <t>Proveedores</t>
  </si>
  <si>
    <t>Acreedores diversos</t>
  </si>
  <si>
    <t>Gts. Ac. por pagar</t>
  </si>
  <si>
    <t>Partidas no Operativas</t>
  </si>
  <si>
    <t>Documentos x pagar a LP</t>
  </si>
  <si>
    <t>Otros Pasivos LP</t>
  </si>
  <si>
    <t>Capital Social</t>
  </si>
  <si>
    <t>Aport. Para Fut Aum Capital</t>
  </si>
  <si>
    <t>Res. Ej. Anteriores</t>
  </si>
  <si>
    <t>Total Partidas no Operativas</t>
  </si>
  <si>
    <t>Inversiones</t>
  </si>
  <si>
    <t>Edificios</t>
  </si>
  <si>
    <t>Maquinaria y Equipo</t>
  </si>
  <si>
    <t>Equipo de Transporte</t>
  </si>
  <si>
    <t>Equipo Electronico</t>
  </si>
  <si>
    <t>Mob. y Eq. Oficina</t>
  </si>
  <si>
    <t>Dep. En Garantía</t>
  </si>
  <si>
    <t>Gts. Instalación</t>
  </si>
  <si>
    <t>Gts. Organización</t>
  </si>
  <si>
    <t>Const. Terr. Arrendados</t>
  </si>
  <si>
    <t>Inv. y Mejoras Inm. Arrend</t>
  </si>
  <si>
    <t>Inversiones por realizar</t>
  </si>
  <si>
    <t>Inversiones en acciones</t>
  </si>
  <si>
    <t>Total Inversiones</t>
  </si>
  <si>
    <t>Flujo Neto</t>
  </si>
  <si>
    <t xml:space="preserve">Activo Circulante    </t>
  </si>
  <si>
    <t xml:space="preserve">Caja y Bancos                           </t>
  </si>
  <si>
    <t xml:space="preserve">Inversiones Temporales                  </t>
  </si>
  <si>
    <t>Otros activos circulantes</t>
  </si>
  <si>
    <t xml:space="preserve">Total Activo Circulante   </t>
  </si>
  <si>
    <t>Activo No Circulante</t>
  </si>
  <si>
    <t xml:space="preserve">Mobiliario y Equipo                     </t>
  </si>
  <si>
    <t>*energeticos</t>
  </si>
  <si>
    <t xml:space="preserve">Otros Activos Fijos                     </t>
  </si>
  <si>
    <t xml:space="preserve">Depreciacion Acumulada                  </t>
  </si>
  <si>
    <t xml:space="preserve">Total Activo Fijo                       </t>
  </si>
  <si>
    <t xml:space="preserve">Activo Diferido     </t>
  </si>
  <si>
    <t xml:space="preserve">Gastos Inst. Org. y Otros               </t>
  </si>
  <si>
    <t xml:space="preserve">Inversiones x Amortizar                 </t>
  </si>
  <si>
    <t xml:space="preserve">Amortizacion Acumulada                  </t>
  </si>
  <si>
    <t xml:space="preserve">Total Activo Diferido                   </t>
  </si>
  <si>
    <t xml:space="preserve">Otros Activos                           </t>
  </si>
  <si>
    <t xml:space="preserve">Inversiones en Acciones                 </t>
  </si>
  <si>
    <t>Total Activo No Circulante</t>
  </si>
  <si>
    <t xml:space="preserve">Total Activo                            </t>
  </si>
  <si>
    <t xml:space="preserve">Pasivo Circulante  </t>
  </si>
  <si>
    <t xml:space="preserve">Acreedores Diversos                     </t>
  </si>
  <si>
    <t xml:space="preserve">Documentos x Pagar                      </t>
  </si>
  <si>
    <t xml:space="preserve">Impuestos y Gastos x Pagar              </t>
  </si>
  <si>
    <t xml:space="preserve">Otros Pasivos Circulantes              </t>
  </si>
  <si>
    <t xml:space="preserve">Total Pasivo Circulante                 </t>
  </si>
  <si>
    <t>Pasivo largo Plazo</t>
  </si>
  <si>
    <t xml:space="preserve">Pasivo Largo Plazo M.N.                 </t>
  </si>
  <si>
    <t xml:space="preserve">Pasivo Largo Plazo M.E.                 </t>
  </si>
  <si>
    <t xml:space="preserve">Otros Pasivo Largo Plazo                </t>
  </si>
  <si>
    <t xml:space="preserve">Total Pasivo Fijo                       </t>
  </si>
  <si>
    <t xml:space="preserve">Pasivo Diferido            </t>
  </si>
  <si>
    <t xml:space="preserve">UT. x Realizar Ventas Abonos            </t>
  </si>
  <si>
    <t>Total Pasivo Largo Plazo</t>
  </si>
  <si>
    <t xml:space="preserve">Capital               </t>
  </si>
  <si>
    <t xml:space="preserve">Reservas de Capital                     </t>
  </si>
  <si>
    <t xml:space="preserve">Resultado Ejerc. Anteriores             </t>
  </si>
  <si>
    <t xml:space="preserve">Resultado del Ejercicio                 </t>
  </si>
  <si>
    <t xml:space="preserve">Aportaciones                            </t>
  </si>
  <si>
    <t xml:space="preserve">Efecto Neto de Reexpresion              </t>
  </si>
  <si>
    <t xml:space="preserve">Total Capital                           </t>
  </si>
  <si>
    <t xml:space="preserve">Total Pasivo + Capital                  </t>
  </si>
  <si>
    <t>Diferencia</t>
  </si>
  <si>
    <t>alimentos mx '201'</t>
  </si>
  <si>
    <t>CONCEPTO</t>
  </si>
  <si>
    <t xml:space="preserve">Mes AA </t>
  </si>
  <si>
    <t>Presup Mes mes</t>
  </si>
  <si>
    <t>FECHA</t>
  </si>
  <si>
    <t xml:space="preserve">Ventas                                  </t>
  </si>
  <si>
    <t>02-2021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</si>
  <si>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</si>
  <si>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</si>
  <si>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</si>
  <si>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</si>
  <si>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</si>
  <si>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</si>
  <si>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</si>
  <si>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</si>
  <si>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</si>
  <si>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</si>
  <si>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</si>
  <si>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</si>
  <si>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</si>
  <si>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</si>
  <si>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</si>
  <si>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</si>
  <si>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</si>
  <si>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</si>
  <si>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</si>
  <si>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</si>
  <si>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>alimentos mx '202'</t>
  </si>
  <si>
    <t xml:space="preserve">Mes ppto </t>
  </si>
  <si>
    <t>alimentos mx '203'</t>
  </si>
  <si>
    <t>Ppto mes Mes</t>
  </si>
  <si>
    <t>alimentos mx '204'</t>
  </si>
  <si>
    <t xml:space="preserve">Mes a?o anterior </t>
  </si>
  <si>
    <t>Ppto Mes Mes</t>
  </si>
  <si>
    <t>alimentos mx '208'</t>
  </si>
  <si>
    <t>alimentos mx '602'</t>
  </si>
  <si>
    <t xml:space="preserve">Ppto </t>
  </si>
  <si>
    <t>automotriz '503'</t>
  </si>
  <si>
    <t xml:space="preserve">Pres. Mes </t>
  </si>
  <si>
    <t>automotriz '506'</t>
  </si>
  <si>
    <t>automotriz '508'</t>
  </si>
  <si>
    <t>automotriz '512'</t>
  </si>
  <si>
    <t>corporativo '102'</t>
  </si>
  <si>
    <t>corporativo '108'</t>
  </si>
  <si>
    <t>corporativo '109'</t>
  </si>
  <si>
    <t>energeticos '301'</t>
  </si>
  <si>
    <t>energeticos '303'</t>
  </si>
  <si>
    <t>energeticos '305'</t>
  </si>
  <si>
    <t>Presupuesto Mes</t>
  </si>
  <si>
    <t>energeticos '307'</t>
  </si>
  <si>
    <t>energeticos '309'</t>
  </si>
  <si>
    <t>energeticos '312'</t>
  </si>
  <si>
    <t>inmobiliaria '613'</t>
  </si>
  <si>
    <t>inmobiliaria '615'</t>
  </si>
  <si>
    <t>usa alimentos '804'</t>
  </si>
  <si>
    <t xml:space="preserve">Sales                                   </t>
  </si>
  <si>
    <t xml:space="preserve">Discounts                               </t>
  </si>
  <si>
    <t xml:space="preserve">Net Sales                               </t>
  </si>
  <si>
    <t xml:space="preserve">Direct Cost                             </t>
  </si>
  <si>
    <t xml:space="preserve">Direct Cost - Labor                     </t>
  </si>
  <si>
    <t xml:space="preserve">Gross profit                            </t>
  </si>
  <si>
    <t xml:space="preserve">Sales expenses                          </t>
  </si>
  <si>
    <t xml:space="preserve">Managerial expenses                     </t>
  </si>
  <si>
    <t xml:space="preserve">Deprec &amp; amortiz.                       </t>
  </si>
  <si>
    <t xml:space="preserve">Total operating expenses                </t>
  </si>
  <si>
    <t xml:space="preserve">Operating profit                        </t>
  </si>
  <si>
    <t xml:space="preserve">Other income                            </t>
  </si>
  <si>
    <t xml:space="preserve">Financial expenses                      </t>
  </si>
  <si>
    <t xml:space="preserve">Financial income                        </t>
  </si>
  <si>
    <t xml:space="preserve">Financial costs                         </t>
  </si>
  <si>
    <t xml:space="preserve">Earning before Tax                      </t>
  </si>
  <si>
    <t xml:space="preserve">Sales Tax                               </t>
  </si>
  <si>
    <t xml:space="preserve">Franchise Tax                           </t>
  </si>
  <si>
    <t xml:space="preserve">Net profit                              </t>
  </si>
  <si>
    <t xml:space="preserve">EBITDA                                  </t>
  </si>
  <si>
    <t>usa alimentos '805'</t>
  </si>
  <si>
    <t xml:space="preserve">Earnings before Tax                     </t>
  </si>
  <si>
    <t>usa alimentos '807'</t>
  </si>
  <si>
    <t xml:space="preserve">Earning before tax                      </t>
  </si>
  <si>
    <t>usa alimentos '808'</t>
  </si>
  <si>
    <t xml:space="preserve">Earnings before tax                     </t>
  </si>
  <si>
    <t xml:space="preserve">Franchise tax                           </t>
  </si>
  <si>
    <t>usa alimentos '811'</t>
  </si>
  <si>
    <t>usa alimentos '812'</t>
  </si>
  <si>
    <t>usa alimentos '813'</t>
  </si>
  <si>
    <t>usa alimentos '816'</t>
  </si>
  <si>
    <t>usa alimentos '817'</t>
  </si>
  <si>
    <t>~ '802'</t>
  </si>
  <si>
    <t>Mes Actual</t>
  </si>
  <si>
    <t>Acumulado A?o actual</t>
  </si>
  <si>
    <t xml:space="preserve">Factor Mes </t>
  </si>
  <si>
    <t>Mes AA Act Mes</t>
  </si>
  <si>
    <t>Acum AA Acumulado</t>
  </si>
  <si>
    <t xml:space="preserve">Factor Ac AA </t>
  </si>
  <si>
    <t>Ac AA Act Actualizado</t>
  </si>
  <si>
    <t>Presup Ac Ac</t>
  </si>
  <si>
    <t>01-2021</t>
  </si>
  <si>
    <t xml:space="preserve">Fact Mes </t>
  </si>
  <si>
    <t>Ac AA Acum</t>
  </si>
  <si>
    <t>Fact Ac Acum</t>
  </si>
  <si>
    <t>Ac AA Act Ac AA</t>
  </si>
  <si>
    <t xml:space="preserve">Ac ppto </t>
  </si>
  <si>
    <t xml:space="preserve">Fact AA </t>
  </si>
  <si>
    <t>Acum AA Acum</t>
  </si>
  <si>
    <t>Fact Ac AA Acum</t>
  </si>
  <si>
    <t>Acum AA Act Acum</t>
  </si>
  <si>
    <t>Ppto Acum Acum</t>
  </si>
  <si>
    <t>Fact AA AA</t>
  </si>
  <si>
    <t xml:space="preserve">Mes </t>
  </si>
  <si>
    <t xml:space="preserve">Acum </t>
  </si>
  <si>
    <t xml:space="preserve">Fct. Mes </t>
  </si>
  <si>
    <t xml:space="preserve">AA Act </t>
  </si>
  <si>
    <t xml:space="preserve">Ac. AAnt </t>
  </si>
  <si>
    <t xml:space="preserve">Fct. AA Ac </t>
  </si>
  <si>
    <t xml:space="preserve">Ac. AA Act </t>
  </si>
  <si>
    <t xml:space="preserve">Ppto Ac. </t>
  </si>
  <si>
    <t xml:space="preserve">Mes AA Act </t>
  </si>
  <si>
    <t xml:space="preserve">Ac. AA </t>
  </si>
  <si>
    <t xml:space="preserve">Fact Ac AA </t>
  </si>
  <si>
    <t xml:space="preserve">Ac AA Act </t>
  </si>
  <si>
    <t xml:space="preserve">Pres Ac </t>
  </si>
  <si>
    <t xml:space="preserve">Mes vs. Ppto </t>
  </si>
  <si>
    <t xml:space="preserve">Ac. vs Ppto </t>
  </si>
  <si>
    <t xml:space="preserve">Mes vs. AA </t>
  </si>
  <si>
    <t xml:space="preserve">Ac. vs AA </t>
  </si>
  <si>
    <t xml:space="preserve">Ppto Mes Sig </t>
  </si>
  <si>
    <t xml:space="preserve">AA Mes Sig </t>
  </si>
  <si>
    <t xml:space="preserve">Proy Mes Sig </t>
  </si>
  <si>
    <t xml:space="preserve">Acum. vs Ppto </t>
  </si>
  <si>
    <t xml:space="preserve">Mes vs AA </t>
  </si>
  <si>
    <t xml:space="preserve">Acum vs AA </t>
  </si>
  <si>
    <t xml:space="preserve">Ac vs AA </t>
  </si>
  <si>
    <t xml:space="preserve">Mes vs Ppto </t>
  </si>
  <si>
    <t xml:space="preserve">Ac vs Ppto </t>
  </si>
  <si>
    <t xml:space="preserve">Ac A?o anterior </t>
  </si>
  <si>
    <t>Presupuesto Acumulado</t>
  </si>
  <si>
    <t xml:space="preserve">Proyec Mes Sig </t>
  </si>
  <si>
    <t>Acumulado Al Mes</t>
  </si>
  <si>
    <t>Presupuesto Al Mes</t>
  </si>
  <si>
    <t>Variacion vs Presupuesto</t>
  </si>
  <si>
    <t>Variacion Vs Mes Anterior</t>
  </si>
  <si>
    <t>Variacion Vs Saldo Inicia</t>
  </si>
  <si>
    <t>Saldo Mes Anterior</t>
  </si>
  <si>
    <t xml:space="preserve">Saldo Inicial </t>
  </si>
  <si>
    <t xml:space="preserve">Activo Circulante                       </t>
  </si>
  <si>
    <t xml:space="preserve">Otros Activos Circulantes( IVA x Ac)    </t>
  </si>
  <si>
    <t xml:space="preserve">Total Activo Circulante                 </t>
  </si>
  <si>
    <t xml:space="preserve">Activo Fijo                             </t>
  </si>
  <si>
    <t xml:space="preserve">Activo Diferido                         </t>
  </si>
  <si>
    <t xml:space="preserve">Total Otros Activos                     </t>
  </si>
  <si>
    <t xml:space="preserve">Pasivo Circulante                       </t>
  </si>
  <si>
    <t xml:space="preserve">Impuestos y Gastos x Pagar (IVA xP)     </t>
  </si>
  <si>
    <t xml:space="preserve">Otros Pasivos Circulantes               </t>
  </si>
  <si>
    <t xml:space="preserve">Pasivo Fijo                             </t>
  </si>
  <si>
    <t xml:space="preserve">Pasivo Largo Plazo                      </t>
  </si>
  <si>
    <t xml:space="preserve">Pasivo Diferido                         </t>
  </si>
  <si>
    <t xml:space="preserve">Total Pasivo Diferido                   </t>
  </si>
  <si>
    <t xml:space="preserve">Capital                                 </t>
  </si>
  <si>
    <t xml:space="preserve">Diferencia                              </t>
  </si>
  <si>
    <t xml:space="preserve">Otros Activos Circulantes               </t>
  </si>
  <si>
    <t xml:space="preserve">Ottros Pasivos Circulantes              </t>
  </si>
  <si>
    <t xml:space="preserve">Tanques Estacionarios                   </t>
  </si>
  <si>
    <t xml:space="preserve">Cash                                    </t>
  </si>
  <si>
    <t xml:space="preserve">Short term investments                  </t>
  </si>
  <si>
    <t xml:space="preserve">Accounts receivable                     </t>
  </si>
  <si>
    <t xml:space="preserve">Intercompany receivables                </t>
  </si>
  <si>
    <t xml:space="preserve">Prepaids &amp; other assets                 </t>
  </si>
  <si>
    <t xml:space="preserve">Other current assets                    </t>
  </si>
  <si>
    <t xml:space="preserve">Total Current assets                    </t>
  </si>
  <si>
    <t xml:space="preserve">Fixed assets                            </t>
  </si>
  <si>
    <t xml:space="preserve">Land                                    </t>
  </si>
  <si>
    <t xml:space="preserve">Building                                </t>
  </si>
  <si>
    <t xml:space="preserve">Furniture and Equipment                 </t>
  </si>
  <si>
    <t xml:space="preserve">Electronic equipment                    </t>
  </si>
  <si>
    <t xml:space="preserve">Transport equipment.                    </t>
  </si>
  <si>
    <t xml:space="preserve">Machinery &amp; office equipment            </t>
  </si>
  <si>
    <t xml:space="preserve">Other fixed assets                      </t>
  </si>
  <si>
    <t xml:space="preserve">Accumulated depreciation                </t>
  </si>
  <si>
    <t xml:space="preserve">Net fixed assets                        </t>
  </si>
  <si>
    <t xml:space="preserve">Deferred assets                         </t>
  </si>
  <si>
    <t xml:space="preserve">Loan Receivable                         </t>
  </si>
  <si>
    <t xml:space="preserve">Differed investments                    </t>
  </si>
  <si>
    <t xml:space="preserve">Accumulated amortization                </t>
  </si>
  <si>
    <t xml:space="preserve">Net Differed assets                     </t>
  </si>
  <si>
    <t xml:space="preserve">Other assets                            </t>
  </si>
  <si>
    <t xml:space="preserve">Inversions in actions                   </t>
  </si>
  <si>
    <t xml:space="preserve">Net other assets                        </t>
  </si>
  <si>
    <t xml:space="preserve">Total assets                            </t>
  </si>
  <si>
    <t xml:space="preserve">Current liabilities                     </t>
  </si>
  <si>
    <t xml:space="preserve">Accounts payable                        </t>
  </si>
  <si>
    <t xml:space="preserve">Accrued Liabilities                     </t>
  </si>
  <si>
    <t xml:space="preserve">Short term bank loans/liabilities       </t>
  </si>
  <si>
    <t xml:space="preserve">Sales Tax/Other Tax Payable             </t>
  </si>
  <si>
    <t xml:space="preserve">Other current liabilities               </t>
  </si>
  <si>
    <t xml:space="preserve">Net current liabilities                 </t>
  </si>
  <si>
    <t xml:space="preserve">Fixed liabilities                       </t>
  </si>
  <si>
    <t xml:space="preserve">Interco notes payable                   </t>
  </si>
  <si>
    <t xml:space="preserve">Long term notes payable                 </t>
  </si>
  <si>
    <t xml:space="preserve">Other Long term notes payable           </t>
  </si>
  <si>
    <t xml:space="preserve">Total long term liabilities             </t>
  </si>
  <si>
    <t xml:space="preserve">Differed liabilities                    </t>
  </si>
  <si>
    <t xml:space="preserve">Total Liabilities                       </t>
  </si>
  <si>
    <t xml:space="preserve">Paid in capital                         </t>
  </si>
  <si>
    <t xml:space="preserve">Common stock                            </t>
  </si>
  <si>
    <t xml:space="preserve">Retained earnings                       </t>
  </si>
  <si>
    <t xml:space="preserve">Contributions                           </t>
  </si>
  <si>
    <t xml:space="preserve">Total Stockholders equity               </t>
  </si>
  <si>
    <t xml:space="preserve">Total Debt+Equity                       </t>
  </si>
  <si>
    <t xml:space="preserve">Flujo Mensual </t>
  </si>
  <si>
    <t>Saldo Ini Saldo Ini</t>
  </si>
  <si>
    <t>Saldo Ac Saldo Ac</t>
  </si>
  <si>
    <t>Flujo Ac. Flujo Ac.</t>
  </si>
  <si>
    <t xml:space="preserve">Estado de resultados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</si>
  <si>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</si>
  <si>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</si>
  <si>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</si>
  <si>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</si>
  <si>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</si>
  <si>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Depreciacion       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</si>
  <si>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</si>
  <si>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</si>
  <si>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</si>
  <si>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</si>
  <si>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</si>
  <si>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UAIR                                    </t>
  </si>
  <si>
    <t xml:space="preserve">Impuestos                               </t>
  </si>
  <si>
    <t xml:space="preserve">Flujo de Efectivo                       </t>
  </si>
  <si>
    <t xml:space="preserve">Var. en el Capital de Trabajo           </t>
  </si>
  <si>
    <t xml:space="preserve">Func. y empleados                       </t>
  </si>
  <si>
    <t xml:space="preserve">Iva x Acreditar                         </t>
  </si>
  <si>
    <t xml:space="preserve">Anticipo de Clientes                    </t>
  </si>
  <si>
    <t xml:space="preserve">Iva x pagar                             </t>
  </si>
  <si>
    <t xml:space="preserve">Impuestos x pagar                       </t>
  </si>
  <si>
    <t xml:space="preserve">Total Variaciones en Capital de Tbjo    </t>
  </si>
  <si>
    <t xml:space="preserve">Reserva Legal                           </t>
  </si>
  <si>
    <t xml:space="preserve">Reservas. Primas Antiguedad             </t>
  </si>
  <si>
    <t xml:space="preserve">Dep. Acum. Edificio                     </t>
  </si>
  <si>
    <t xml:space="preserve">Dep.Acum Maquinaria y Equipo            </t>
  </si>
  <si>
    <t xml:space="preserve">Dep. Acum Eq de Transporte              </t>
  </si>
  <si>
    <t xml:space="preserve">Dep. Acum. Eq. Electronico              </t>
  </si>
  <si>
    <t xml:space="preserve">Dep. Acum. Mob. y Eq. Oficina           </t>
  </si>
  <si>
    <t xml:space="preserve">Dep. En Garantia                        </t>
  </si>
  <si>
    <t xml:space="preserve">Amtz. Ac. Depositos Garantia            </t>
  </si>
  <si>
    <t xml:space="preserve">Gts. Instalacion                        </t>
  </si>
  <si>
    <t xml:space="preserve">Amtz. Ac. Gts. Instalacion              </t>
  </si>
  <si>
    <t xml:space="preserve">Gts. Organizacion                       </t>
  </si>
  <si>
    <t xml:space="preserve">Amtz. Ac. Gts. Organizacion             </t>
  </si>
  <si>
    <t xml:space="preserve">Amtz. Const. T.Arrendados               </t>
  </si>
  <si>
    <t xml:space="preserve">Amtz. Ac. Inv. y Mejoras Inm. Arrend    </t>
  </si>
  <si>
    <t xml:space="preserve">Documentos x pagar a Corto Plazo        </t>
  </si>
  <si>
    <t>Flujo Mensual Actual</t>
  </si>
  <si>
    <t>Saldo Ini A?o actual</t>
  </si>
  <si>
    <t>Saldo Ac Saldo Ac.</t>
  </si>
  <si>
    <t>Flujo Ac Flujo Ac.</t>
  </si>
  <si>
    <t xml:space="preserve">Bonificaciones y reb/vts                </t>
  </si>
  <si>
    <t xml:space="preserve">Costo de ventas                         </t>
  </si>
  <si>
    <t xml:space="preserve">Otros Gastos / Otros ingresos           </t>
  </si>
  <si>
    <t xml:space="preserve">Anticipos a Subsidios y Afiliados       </t>
  </si>
  <si>
    <t xml:space="preserve">Deudores diversos                       </t>
  </si>
  <si>
    <t xml:space="preserve">Impuesto sobre la Renta x Pagar         </t>
  </si>
  <si>
    <t xml:space="preserve">Total variaciones en Capital de Tbjo    </t>
  </si>
  <si>
    <t xml:space="preserve">Aport. para Fut. Aum. Capital           </t>
  </si>
  <si>
    <t xml:space="preserve">Reservas, Primas Antiguedad             </t>
  </si>
  <si>
    <t xml:space="preserve">Edificios y Terrenos                    </t>
  </si>
  <si>
    <t xml:space="preserve">Dep. Acum. Maquinaria y Equipo          </t>
  </si>
  <si>
    <t xml:space="preserve">Dep. Acum. Eq. de Transporte            </t>
  </si>
  <si>
    <t xml:space="preserve">Mob. y Eq. de Oficina                   </t>
  </si>
  <si>
    <t xml:space="preserve">Dep. en Garantia                        </t>
  </si>
  <si>
    <t xml:space="preserve">Gts. Instalacion y Otros Activos        </t>
  </si>
  <si>
    <t xml:space="preserve">Amtz. Ac. Gts Instalacion               </t>
  </si>
  <si>
    <t xml:space="preserve">Amtz. Const. T. Arrendados              </t>
  </si>
  <si>
    <t xml:space="preserve">Inv. y Mejoras Inm. Arrend.             </t>
  </si>
  <si>
    <t xml:space="preserve">Amtz. Ac. Inv. y Mejoras Inm. Arrend.   </t>
  </si>
  <si>
    <t xml:space="preserve">Construcc. en proceso                   </t>
  </si>
  <si>
    <t xml:space="preserve">Utilidad x Particip. en afiliadas       </t>
  </si>
  <si>
    <t xml:space="preserve">Dep. Acum. Mob. y  Eq. Oficina          </t>
  </si>
  <si>
    <t xml:space="preserve">Gts, Organizacion                       </t>
  </si>
  <si>
    <t xml:space="preserve">Documentos x Pagar a LP                 </t>
  </si>
  <si>
    <t xml:space="preserve">Reservas, Primas de Antiguedad          </t>
  </si>
  <si>
    <t xml:space="preserve">Const. Terr. Arrend.                    </t>
  </si>
  <si>
    <t xml:space="preserve">Depreciacion y Amtz                     </t>
  </si>
  <si>
    <t xml:space="preserve">Variaciones en el Capital de Tbjo       </t>
  </si>
  <si>
    <t xml:space="preserve">Intereses x Dev Vtas en Abonos          </t>
  </si>
  <si>
    <t xml:space="preserve">Utilidad Bruta x Vtas en Abonos         </t>
  </si>
  <si>
    <t xml:space="preserve">Result. Ej. Anteriores                  </t>
  </si>
  <si>
    <t xml:space="preserve">Dep. Ac. Mob. y Eq. Oficina             </t>
  </si>
  <si>
    <t xml:space="preserve">Dep. Garantia                           </t>
  </si>
  <si>
    <t xml:space="preserve">Gts. de Instalacion                     </t>
  </si>
  <si>
    <t xml:space="preserve">Amtz. Gts. Instalacion                  </t>
  </si>
  <si>
    <t xml:space="preserve">Construccion en Proceso                 </t>
  </si>
  <si>
    <t xml:space="preserve">Intercompa?ia                           </t>
  </si>
  <si>
    <t xml:space="preserve">Otros                                   </t>
  </si>
  <si>
    <t xml:space="preserve">Rysf Vtas. </t>
  </si>
  <si>
    <t xml:space="preserve">Rysf Vtas. Ac. </t>
  </si>
  <si>
    <t xml:space="preserve">Rysf Vtas.AA Ac. </t>
  </si>
  <si>
    <t xml:space="preserve">Rysf 1er. MA </t>
  </si>
  <si>
    <t xml:space="preserve">Rysf 2do.MA </t>
  </si>
  <si>
    <t xml:space="preserve">Rysf TA 1er.mes </t>
  </si>
  <si>
    <t xml:space="preserve">Rysf Ta 2do.mes </t>
  </si>
  <si>
    <t xml:space="preserve">Rysf TA 3er.Mes </t>
  </si>
  <si>
    <t xml:space="preserve">Rysf AA 1er.mes </t>
  </si>
  <si>
    <t xml:space="preserve">Rysf AA 2do.mes </t>
  </si>
  <si>
    <t xml:space="preserve">Rysf AA 3er.mes </t>
  </si>
  <si>
    <t xml:space="preserve">Mes Actual </t>
  </si>
  <si>
    <t xml:space="preserve">Actual Acum. </t>
  </si>
  <si>
    <t xml:space="preserve">AA </t>
  </si>
  <si>
    <t xml:space="preserve">AA Acum. </t>
  </si>
  <si>
    <t>1er. MA Vts</t>
  </si>
  <si>
    <t>2do. MA Vts Ac.</t>
  </si>
  <si>
    <t>TA 1er.Mes Vts</t>
  </si>
  <si>
    <t>TA 2do.mes Vts Ac.</t>
  </si>
  <si>
    <t>TA 3er.mes Vts</t>
  </si>
  <si>
    <t xml:space="preserve">AA 1er.mes </t>
  </si>
  <si>
    <t xml:space="preserve">AA 2do..mes </t>
  </si>
  <si>
    <t xml:space="preserve">AA 3er. Mes </t>
  </si>
  <si>
    <t xml:space="preserve">Acum. </t>
  </si>
  <si>
    <t>Mes AA Vts</t>
  </si>
  <si>
    <t xml:space="preserve">Acum.AA </t>
  </si>
  <si>
    <t xml:space="preserve">2do. MA </t>
  </si>
  <si>
    <t xml:space="preserve">Rysf TA 2do.mes </t>
  </si>
  <si>
    <t xml:space="preserve">Rysf TA 3er.mes </t>
  </si>
  <si>
    <t xml:space="preserve">RySF mes Actual </t>
  </si>
  <si>
    <t xml:space="preserve">RySF Acum. </t>
  </si>
  <si>
    <t>RySF mes AA Vts</t>
  </si>
  <si>
    <t xml:space="preserve">RySF Acum.AA </t>
  </si>
  <si>
    <t>Anexos</t>
  </si>
  <si>
    <t>unidades()</t>
  </si>
</sst>
</file>

<file path=xl/styles.xml><?xml version="1.0" encoding="utf-8"?>
<styleSheet xmlns="http://schemas.openxmlformats.org/spreadsheetml/2006/main" xml:space="preserve">
  <numFmts count="11">
    <numFmt numFmtId="164" formatCode="0.0%;[Red]\-#.0%"/>
    <numFmt numFmtId="165" formatCode="#,##0_ ;[Red]\-#,##0\ "/>
    <numFmt numFmtId="166" formatCode="0%;[Red]\-#%"/>
    <numFmt numFmtId="167" formatCode="_(* #,##0_);_(* \(#,##0\);_(* &quot;-&quot;??_);_(@_)"/>
    <numFmt numFmtId="168" formatCode="_(* #,##0.00_);_(* \(#,##0.00\);_(* &quot;-&quot;??_);_(@_)"/>
    <numFmt numFmtId="169" formatCode="0.0000"/>
    <numFmt numFmtId="170" formatCode="_(* #,##0.000_);_(* \(#,##0.000\);_(* &quot;-&quot;??_);_(@_)"/>
    <numFmt numFmtId="171" formatCode="_-* #,##0_-;\-* #,##0_-;_-* &quot;-&quot;??_-;_-@_-"/>
    <numFmt numFmtId="172" formatCode="_(* #,##0.0_);_(* \(#,##0.0\);_(* &quot;-&quot;??_);_(@_)"/>
    <numFmt numFmtId="173" formatCode="_(* #,##0.0000_);_(* \(#,##0.0000\);_(* &quot;-&quot;??_);_(@_)"/>
    <numFmt numFmtId="174" formatCode="0.0%"/>
  </numFmts>
  <fonts count="2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FF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FF0000"/>
      <name val="Arial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7F6000"/>
      <name val="Calibri"/>
    </font>
    <font>
      <b val="0"/>
      <i val="0"/>
      <strike val="0"/>
      <u val="none"/>
      <sz val="11"/>
      <color rgb="FF00B050"/>
      <name val="Calibri"/>
    </font>
    <font>
      <b val="0"/>
      <i val="0"/>
      <strike val="0"/>
      <u val="none"/>
      <sz val="11"/>
      <color rgb="FF7030A0"/>
      <name val="Calibri"/>
    </font>
    <font>
      <b val="0"/>
      <i val="0"/>
      <strike val="0"/>
      <u val="none"/>
      <sz val="11"/>
      <color rgb="FFED7D31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2D4D6A"/>
      <name val="Calibri"/>
    </font>
    <font>
      <b val="0"/>
      <i val="0"/>
      <strike val="0"/>
      <u val="none"/>
      <sz val="11"/>
      <color rgb="FF00B0F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737373"/>
        <bgColor rgb="FFFFFFFF"/>
      </patternFill>
    </fill>
    <fill>
      <patternFill patternType="solid">
        <fgColor rgb="FFFF0000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0">
      <alignment horizontal="general" vertical="bottom" textRotation="0" wrapText="false" shrinkToFit="false"/>
    </xf>
    <xf xfId="0" fontId="1" numFmtId="164" fillId="2" borderId="2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65" fillId="2" borderId="3" applyFont="1" applyNumberFormat="1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5" applyFont="1" applyNumberFormat="1" applyFill="0" applyBorder="1" applyAlignment="0">
      <alignment horizontal="general" vertical="bottom" textRotation="0" wrapText="false" shrinkToFit="false"/>
    </xf>
    <xf xfId="0" fontId="2" numFmtId="164" fillId="2" borderId="6" applyFont="1" applyNumberFormat="1" applyFill="0" applyBorder="1" applyAlignment="1">
      <alignment horizontal="center" vertical="bottom" textRotation="0" wrapText="false" shrinkToFit="false"/>
    </xf>
    <xf xfId="0" fontId="2" numFmtId="164" fillId="2" borderId="5" applyFont="1" applyNumberFormat="1" applyFill="0" applyBorder="1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165" fillId="2" borderId="7" applyFont="1" applyNumberFormat="1" applyFill="0" applyBorder="1" applyAlignment="0">
      <alignment horizontal="general" vertical="bottom" textRotation="0" wrapText="false" shrinkToFit="false"/>
    </xf>
    <xf xfId="0" fontId="1" numFmtId="166" fillId="2" borderId="3" applyFont="1" applyNumberFormat="1" applyFill="0" applyBorder="1" applyAlignment="1">
      <alignment horizontal="center" vertical="bottom" textRotation="0" wrapText="false" shrinkToFit="false"/>
    </xf>
    <xf xfId="0" fontId="2" numFmtId="164" fillId="2" borderId="5" applyFont="1" applyNumberFormat="1" applyFill="0" applyBorder="1" applyAlignment="1">
      <alignment horizontal="center" vertical="bottom" textRotation="0" wrapText="false" shrinkToFit="false"/>
    </xf>
    <xf xfId="0" fontId="2" numFmtId="166" fillId="2" borderId="5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6" fillId="2" borderId="1" applyFont="1" applyNumberFormat="1" applyFill="0" applyBorder="1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8" applyFont="1" applyNumberFormat="1" applyFill="0" applyBorder="1" applyAlignment="0">
      <alignment horizontal="general" vertical="bottom" textRotation="0" wrapText="false" shrinkToFit="false"/>
    </xf>
    <xf xfId="0" fontId="2" numFmtId="164" fillId="2" borderId="8" applyFont="1" applyNumberFormat="1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65" fillId="2" borderId="7" applyFont="1" applyNumberFormat="1" applyFill="0" applyBorder="1" applyAlignment="0">
      <alignment horizontal="general" vertical="bottom" textRotation="0" wrapText="false" shrinkToFit="false"/>
    </xf>
    <xf xfId="0" fontId="2" numFmtId="164" fillId="2" borderId="7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7" fillId="3" borderId="0" applyFont="1" applyNumberFormat="1" applyFill="1" applyBorder="0" applyAlignment="0">
      <alignment horizontal="general" vertical="bottom" textRotation="0" wrapText="false" shrinkToFit="false"/>
    </xf>
    <xf xfId="0" fontId="1" numFmtId="167" fillId="2" borderId="0" applyFont="1" applyNumberFormat="1" applyFill="0" applyBorder="0" applyAlignment="0">
      <alignment horizontal="general" vertical="bottom" textRotation="0" wrapText="false" shrinkToFit="false"/>
    </xf>
    <xf xfId="0" fontId="1" numFmtId="168" fillId="2" borderId="0" applyFont="1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1" numFmtId="168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3" applyFont="1" applyNumberFormat="1" applyFill="0" applyBorder="1" applyAlignment="1">
      <alignment horizontal="center" vertical="bottom" textRotation="0" wrapText="false" shrinkToFit="false"/>
    </xf>
    <xf xfId="0" fontId="2" numFmtId="166" fillId="2" borderId="5" applyFont="1" applyNumberFormat="1" applyFill="0" applyBorder="1" applyAlignment="1">
      <alignment horizontal="center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2" numFmtId="166" fillId="2" borderId="7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9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70" fillId="2" borderId="0" applyFont="1" applyNumberFormat="1" applyFill="0" applyBorder="0" applyAlignment="0">
      <alignment horizontal="general" vertical="bottom" textRotation="0" wrapText="false" shrinkToFit="false"/>
    </xf>
    <xf xfId="0" fontId="9" numFmtId="170" fillId="2" borderId="0" applyFont="1" applyNumberFormat="1" applyFill="0" applyBorder="0" applyAlignment="0">
      <alignment horizontal="general" vertical="bottom" textRotation="0" wrapText="false" shrinkToFit="false"/>
    </xf>
    <xf xfId="0" fontId="10" numFmtId="170" fillId="2" borderId="0" applyFont="1" applyNumberFormat="1" applyFill="0" applyBorder="0" applyAlignment="0">
      <alignment horizontal="general" vertical="bottom" textRotation="0" wrapText="false" shrinkToFit="false"/>
    </xf>
    <xf xfId="0" fontId="8" numFmtId="168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9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171" fillId="2" borderId="1" applyFont="1" applyNumberFormat="1" applyFill="0" applyBorder="1" applyAlignment="0">
      <alignment horizontal="general" vertical="bottom" textRotation="0" wrapText="false" shrinkToFit="false"/>
    </xf>
    <xf xfId="0" fontId="6" numFmtId="171" fillId="2" borderId="0" applyFont="1" applyNumberFormat="1" applyFill="0" applyBorder="0" applyAlignment="0">
      <alignment horizontal="general" vertical="bottom" textRotation="0" wrapText="false" shrinkToFit="false"/>
    </xf>
    <xf xfId="0" fontId="5" numFmtId="171" fillId="2" borderId="3" applyFont="1" applyNumberFormat="1" applyFill="0" applyBorder="1" applyAlignment="0">
      <alignment horizontal="general" vertical="bottom" textRotation="0" wrapText="false" shrinkToFit="false"/>
    </xf>
    <xf xfId="0" fontId="7" numFmtId="168" fillId="2" borderId="0" applyFont="1" applyNumberFormat="1" applyFill="0" applyBorder="0" applyAlignment="0">
      <alignment horizontal="general" vertical="bottom" textRotation="0" wrapText="false" shrinkToFit="false"/>
    </xf>
    <xf xfId="0" fontId="5" numFmtId="171" fillId="2" borderId="7" applyFont="1" applyNumberFormat="1" applyFill="0" applyBorder="1" applyAlignment="0">
      <alignment horizontal="general" vertical="bottom" textRotation="0" wrapText="false" shrinkToFit="false"/>
    </xf>
    <xf xfId="0" fontId="7" numFmtId="167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1" applyFont="1" applyNumberFormat="1" applyFill="0" applyBorder="1" applyAlignment="1">
      <alignment horizontal="center" vertical="bottom" textRotation="0" wrapText="false" shrinkToFit="false"/>
    </xf>
    <xf xfId="0" fontId="6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9" fillId="2" borderId="7" applyFont="1" applyNumberFormat="1" applyFill="0" applyBorder="1" applyAlignment="1">
      <alignment horizontal="center" vertical="bottom" textRotation="0" wrapText="false" shrinkToFit="false"/>
    </xf>
    <xf xfId="0" fontId="4" numFmtId="168" fillId="2" borderId="0" applyFont="1" applyNumberFormat="1" applyFill="0" applyBorder="0" applyAlignment="0">
      <alignment horizontal="general" vertical="bottom" textRotation="0" wrapText="false" shrinkToFit="false"/>
    </xf>
    <xf xfId="0" fontId="4" numFmtId="1" fillId="2" borderId="0" applyFont="1" applyNumberFormat="1" applyFill="0" applyBorder="0" applyAlignment="0">
      <alignment horizontal="general" vertical="bottom" textRotation="0" wrapText="false" shrinkToFit="false"/>
    </xf>
    <xf xfId="0" fontId="4" numFmtId="171" fillId="2" borderId="0" applyFont="1" applyNumberFormat="1" applyFill="0" applyBorder="0" applyAlignment="0">
      <alignment horizontal="general" vertical="bottom" textRotation="0" wrapText="false" shrinkToFit="false"/>
    </xf>
    <xf xfId="0" fontId="4" numFmtId="172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71" fillId="2" borderId="0" applyFont="1" applyNumberFormat="1" applyFill="0" applyBorder="0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71" fillId="2" borderId="5" applyFont="1" applyNumberFormat="1" applyFill="0" applyBorder="1" applyAlignment="0">
      <alignment horizontal="general" vertical="bottom" textRotation="0" wrapText="false" shrinkToFit="false"/>
    </xf>
    <xf xfId="0" fontId="4" numFmtId="167" fillId="2" borderId="5" applyFont="1" applyNumberFormat="1" applyFill="0" applyBorder="1" applyAlignment="0">
      <alignment horizontal="general" vertical="bottom" textRotation="0" wrapText="false" shrinkToFit="false"/>
    </xf>
    <xf xfId="0" fontId="6" numFmtId="171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68" fillId="2" borderId="0" applyFont="1" applyNumberFormat="1" applyFill="0" applyBorder="0" applyAlignment="0">
      <alignment horizontal="general" vertical="bottom" textRotation="0" wrapText="false" shrinkToFit="false"/>
    </xf>
    <xf xfId="0" fontId="6" numFmtId="171" fillId="2" borderId="0" applyFont="1" applyNumberFormat="1" applyFill="0" applyBorder="0" applyAlignment="0">
      <alignment horizontal="general" vertical="bottom" textRotation="0" wrapText="false" shrinkToFit="false"/>
    </xf>
    <xf xfId="0" fontId="12" numFmtId="167" fillId="3" borderId="0" applyFont="1" applyNumberFormat="1" applyFill="1" applyBorder="0" applyAlignment="0">
      <alignment horizontal="general" vertical="bottom" textRotation="0" wrapText="false" shrinkToFit="false"/>
    </xf>
    <xf xfId="0" fontId="6" numFmtId="168" fillId="4" borderId="0" applyFont="1" applyNumberFormat="1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70" fillId="2" borderId="0" applyFont="1" applyNumberFormat="1" applyFill="0" applyBorder="0" applyAlignment="0">
      <alignment horizontal="general" vertical="bottom" textRotation="0" wrapText="false" shrinkToFit="false"/>
    </xf>
    <xf xfId="0" fontId="6" numFmtId="170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7" numFmtId="171" fillId="4" borderId="0" applyFont="1" applyNumberFormat="1" applyFill="1" applyBorder="0" applyAlignment="0">
      <alignment horizontal="general" vertical="bottom" textRotation="0" wrapText="false" shrinkToFit="false"/>
    </xf>
    <xf xfId="0" fontId="6" numFmtId="171" fillId="3" borderId="0" applyFont="1" applyNumberFormat="1" applyFill="1" applyBorder="0" applyAlignment="0">
      <alignment horizontal="general" vertical="bottom" textRotation="0" wrapText="false" shrinkToFit="false"/>
    </xf>
    <xf xfId="0" fontId="4" numFmtId="9" fillId="2" borderId="7" applyFont="1" applyNumberFormat="1" applyFill="0" applyBorder="1" applyAlignment="1">
      <alignment horizontal="center" vertical="bottom" textRotation="0" wrapText="false" shrinkToFit="false"/>
    </xf>
    <xf xfId="0" fontId="6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171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167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68" fillId="4" borderId="0" applyFont="1" applyNumberFormat="1" applyFill="1" applyBorder="0" applyAlignment="0">
      <alignment horizontal="general" vertical="bottom" textRotation="0" wrapText="false" shrinkToFit="false"/>
    </xf>
    <xf xfId="0" fontId="4" numFmtId="9" fillId="2" borderId="3" applyFont="1" applyNumberFormat="1" applyFill="0" applyBorder="1" applyAlignment="1">
      <alignment horizontal="center" vertical="bottom" textRotation="0" wrapText="false" shrinkToFit="false"/>
    </xf>
    <xf xfId="0" fontId="6" numFmtId="9" fillId="2" borderId="10" applyFont="1" applyNumberFormat="1" applyFill="0" applyBorder="1" applyAlignment="1">
      <alignment horizontal="center" vertical="bottom" textRotation="0" wrapText="false" shrinkToFit="false"/>
    </xf>
    <xf xfId="0" fontId="6" numFmtId="9" fillId="2" borderId="10" applyFont="1" applyNumberFormat="1" applyFill="0" applyBorder="1" applyAlignment="1">
      <alignment horizontal="center" vertical="bottom" textRotation="0" wrapText="false" shrinkToFit="false"/>
    </xf>
    <xf xfId="0" fontId="4" numFmtId="168" fillId="2" borderId="0" applyFont="1" applyNumberFormat="1" applyFill="0" applyBorder="0" applyAlignment="0">
      <alignment horizontal="general" vertical="bottom" textRotation="0" wrapText="false" shrinkToFit="false"/>
    </xf>
    <xf xfId="0" fontId="6" numFmtId="168" fillId="2" borderId="5" applyFont="1" applyNumberFormat="1" applyFill="0" applyBorder="1" applyAlignment="0">
      <alignment horizontal="general" vertical="bottom" textRotation="0" wrapText="false" shrinkToFit="false"/>
    </xf>
    <xf xfId="0" fontId="6" numFmtId="0" fillId="5" borderId="0" applyFont="1" applyNumberFormat="0" applyFill="1" applyBorder="0" applyAlignment="0">
      <alignment horizontal="general" vertical="bottom" textRotation="0" wrapText="false" shrinkToFit="false"/>
    </xf>
    <xf xfId="0" fontId="11" numFmtId="173" fillId="4" borderId="0" applyFont="1" applyNumberFormat="1" applyFill="1" applyBorder="0" applyAlignment="0">
      <alignment horizontal="general" vertical="bottom" textRotation="0" wrapText="false" shrinkToFit="false"/>
    </xf>
    <xf xfId="0" fontId="11" numFmtId="173" fillId="4" borderId="0" applyFont="1" applyNumberFormat="1" applyFill="1" applyBorder="0" applyAlignment="0">
      <alignment horizontal="general" vertical="bottom" textRotation="0" wrapText="false" shrinkToFit="false"/>
    </xf>
    <xf xfId="0" fontId="13" numFmtId="170" fillId="2" borderId="0" applyFont="1" applyNumberFormat="1" applyFill="0" applyBorder="0" applyAlignment="0">
      <alignment horizontal="general" vertical="bottom" textRotation="0" wrapText="false" shrinkToFit="false"/>
    </xf>
    <xf xfId="0" fontId="13" numFmtId="173" fillId="3" borderId="0" applyFont="1" applyNumberFormat="1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168" fillId="3" borderId="0" applyFont="1" applyNumberFormat="1" applyFill="1" applyBorder="0" applyAlignment="0">
      <alignment horizontal="general" vertical="bottom" textRotation="0" wrapText="false" shrinkToFit="false"/>
    </xf>
    <xf xfId="0" fontId="13" numFmtId="173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5" borderId="0" applyFont="1" applyNumberFormat="0" applyFill="1" applyBorder="0" applyAlignment="0">
      <alignment horizontal="general" vertical="bottom" textRotation="0" wrapText="false" shrinkToFit="false"/>
    </xf>
    <xf xfId="0" fontId="5" numFmtId="167" fillId="2" borderId="3" applyFont="1" applyNumberFormat="1" applyFill="0" applyBorder="1" applyAlignment="0">
      <alignment horizontal="general" vertical="bottom" textRotation="0" wrapText="false" shrinkToFit="false"/>
    </xf>
    <xf xfId="0" fontId="4" numFmtId="170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5" borderId="0" applyFont="1" applyNumberFormat="0" applyFill="1" applyBorder="0" applyAlignment="0">
      <alignment horizontal="general" vertical="bottom" textRotation="0" wrapText="false" shrinkToFit="false"/>
    </xf>
    <xf xfId="0" fontId="4" numFmtId="9" fillId="4" borderId="0" applyFont="1" applyNumberFormat="1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71" fillId="2" borderId="0" applyFont="1" applyNumberFormat="1" applyFill="0" applyBorder="0" applyAlignment="0">
      <alignment horizontal="general" vertical="bottom" textRotation="0" wrapText="false" shrinkToFit="false"/>
    </xf>
    <xf xfId="0" fontId="4" numFmtId="171" fillId="2" borderId="0" applyFont="1" applyNumberFormat="1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5" numFmtId="167" fillId="2" borderId="0" applyFont="1" applyNumberFormat="1" applyFill="0" applyBorder="0" applyAlignment="0">
      <alignment horizontal="general" vertical="bottom" textRotation="0" wrapText="false" shrinkToFit="false"/>
    </xf>
    <xf xfId="0" fontId="4" numFmtId="167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71" fillId="2" borderId="0" applyFont="1" applyNumberFormat="1" applyFill="0" applyBorder="0" applyAlignment="0">
      <alignment horizontal="general" vertical="bottom" textRotation="0" wrapText="false" shrinkToFit="false"/>
    </xf>
    <xf xfId="0" fontId="5" numFmtId="168" fillId="2" borderId="0" applyFont="1" applyNumberFormat="1" applyFill="0" applyBorder="0" applyAlignment="0">
      <alignment horizontal="general" vertical="bottom" textRotation="0" wrapText="false" shrinkToFit="false"/>
    </xf>
    <xf xfId="0" fontId="8" numFmtId="171" fillId="2" borderId="0" applyFont="1" applyNumberFormat="1" applyFill="0" applyBorder="0" applyAlignment="1">
      <alignment horizontal="center" vertical="bottom" textRotation="0" wrapText="false" shrinkToFit="false"/>
    </xf>
    <xf xfId="0" fontId="5" numFmtId="168" fillId="2" borderId="0" applyFont="1" applyNumberFormat="1" applyFill="0" applyBorder="0" applyAlignment="1">
      <alignment horizontal="center" vertical="bottom" textRotation="0" wrapText="false" shrinkToFit="false"/>
    </xf>
    <xf xfId="0" fontId="5" numFmtId="168" fillId="2" borderId="0" applyFont="1" applyNumberFormat="1" applyFill="0" applyBorder="0" applyAlignment="0">
      <alignment horizontal="general" vertical="bottom" textRotation="0" wrapText="false" shrinkToFit="false"/>
    </xf>
    <xf xfId="0" fontId="8" numFmtId="168" fillId="2" borderId="0" applyFont="1" applyNumberFormat="1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11" numFmtId="173" fillId="2" borderId="0" applyFont="1" applyNumberFormat="1" applyFill="0" applyBorder="0" applyAlignment="0">
      <alignment horizontal="general" vertical="bottom" textRotation="0" wrapText="false" shrinkToFit="false"/>
    </xf>
    <xf xfId="0" fontId="13" numFmtId="170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2" numFmtId="164" fillId="2" borderId="5" applyFont="1" applyNumberFormat="1" applyFill="0" applyBorder="1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2" numFmtId="164" fillId="2" borderId="7" applyFont="1" applyNumberFormat="1" applyFill="0" applyBorder="1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0">
      <alignment horizontal="general" vertical="bottom" textRotation="0" wrapText="false" shrinkToFit="false"/>
    </xf>
    <xf xfId="0" fontId="2" numFmtId="2" fillId="2" borderId="0" applyFont="1" applyNumberFormat="1" applyFill="0" applyBorder="0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17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74" fillId="2" borderId="11" applyFont="1" applyNumberFormat="1" applyFill="0" applyBorder="1" applyAlignment="1">
      <alignment horizontal="center" vertical="bottom" textRotation="0" wrapText="false" shrinkToFit="false"/>
    </xf>
    <xf xfId="0" fontId="6" numFmtId="174" fillId="2" borderId="1" applyFont="1" applyNumberFormat="1" applyFill="0" applyBorder="1" applyAlignment="1">
      <alignment horizontal="center" vertical="bottom" textRotation="0" wrapText="false" shrinkToFit="false"/>
    </xf>
    <xf xfId="0" fontId="6" numFmtId="171" fillId="2" borderId="11" applyFont="1" applyNumberFormat="1" applyFill="0" applyBorder="1" applyAlignment="0">
      <alignment horizontal="general" vertical="bottom" textRotation="0" wrapText="false" shrinkToFit="false"/>
    </xf>
    <xf xfId="0" fontId="6" numFmtId="171" fillId="2" borderId="1" applyFont="1" applyNumberFormat="1" applyFill="0" applyBorder="1" applyAlignment="0">
      <alignment horizontal="general" vertical="bottom" textRotation="0" wrapText="false" shrinkToFit="false"/>
    </xf>
    <xf xfId="0" fontId="6" numFmtId="174" fillId="2" borderId="0" applyFont="1" applyNumberFormat="1" applyFill="0" applyBorder="0" applyAlignment="0">
      <alignment horizontal="general" vertical="bottom" textRotation="0" wrapText="false" shrinkToFit="false"/>
    </xf>
    <xf xfId="0" fontId="6" numFmtId="174" fillId="2" borderId="3" applyFont="1" applyNumberFormat="1" applyFill="0" applyBorder="1" applyAlignment="1">
      <alignment horizontal="center" vertical="bottom" textRotation="0" wrapText="false" shrinkToFit="false"/>
    </xf>
    <xf xfId="0" fontId="6" numFmtId="171" fillId="2" borderId="3" applyFont="1" applyNumberFormat="1" applyFill="0" applyBorder="1" applyAlignment="0">
      <alignment horizontal="general" vertical="bottom" textRotation="0" wrapText="false" shrinkToFit="false"/>
    </xf>
    <xf xfId="0" fontId="6" numFmtId="174" fillId="2" borderId="7" applyFont="1" applyNumberFormat="1" applyFill="0" applyBorder="1" applyAlignment="1">
      <alignment horizontal="center" vertical="bottom" textRotation="0" wrapText="false" shrinkToFit="false"/>
    </xf>
    <xf xfId="0" fontId="6" numFmtId="172" fillId="2" borderId="3" applyFont="1" applyNumberFormat="1" applyFill="0" applyBorder="1" applyAlignment="1">
      <alignment horizontal="center" vertical="bottom" textRotation="0" wrapText="false" shrinkToFit="false"/>
    </xf>
    <xf xfId="0" fontId="6" numFmtId="172" fillId="2" borderId="3" applyFont="1" applyNumberFormat="1" applyFill="0" applyBorder="1" applyAlignment="0">
      <alignment horizontal="general" vertical="bottom" textRotation="0" wrapText="false" shrinkToFit="false"/>
    </xf>
    <xf xfId="0" fontId="6" numFmtId="172" fillId="2" borderId="0" applyFont="1" applyNumberFormat="1" applyFill="0" applyBorder="0" applyAlignment="0">
      <alignment horizontal="general" vertical="bottom" textRotation="0" wrapText="false" shrinkToFit="false"/>
    </xf>
    <xf xfId="0" fontId="6" numFmtId="172" fillId="2" borderId="10" applyFont="1" applyNumberFormat="1" applyFill="0" applyBorder="1" applyAlignment="0">
      <alignment horizontal="general" vertical="bottom" textRotation="0" wrapText="false" shrinkToFit="false"/>
    </xf>
    <xf xfId="0" fontId="6" numFmtId="172" fillId="2" borderId="7" applyFont="1" applyNumberFormat="1" applyFill="0" applyBorder="1" applyAlignment="1">
      <alignment horizontal="center" vertical="bottom" textRotation="0" wrapText="false" shrinkToFit="false"/>
    </xf>
    <xf xfId="0" fontId="6" numFmtId="172" fillId="2" borderId="7" applyFont="1" applyNumberFormat="1" applyFill="0" applyBorder="1" applyAlignment="0">
      <alignment horizontal="general" vertical="bottom" textRotation="0" wrapText="false" shrinkToFit="false"/>
    </xf>
    <xf xfId="0" fontId="6" numFmtId="172" fillId="2" borderId="12" applyFont="1" applyNumberFormat="1" applyFill="0" applyBorder="1" applyAlignment="0">
      <alignment horizontal="general" vertical="bottom" textRotation="0" wrapText="false" shrinkToFit="false"/>
    </xf>
    <xf xfId="0" fontId="6" numFmtId="9" fillId="2" borderId="1" applyFont="1" applyNumberFormat="1" applyFill="0" applyBorder="1" applyAlignment="1">
      <alignment horizontal="center" vertical="bottom" textRotation="0" wrapText="false" shrinkToFit="false"/>
    </xf>
    <xf xfId="0" fontId="6" numFmtId="9" fillId="2" borderId="7" applyFont="1" applyNumberFormat="1" applyFill="0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71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71" fillId="2" borderId="10" applyFont="1" applyNumberFormat="1" applyFill="0" applyBorder="1" applyAlignment="0">
      <alignment horizontal="general" vertical="bottom" textRotation="0" wrapText="false" shrinkToFit="false"/>
    </xf>
    <xf xfId="0" fontId="6" numFmtId="171" fillId="2" borderId="3" applyFont="1" applyNumberFormat="1" applyFill="0" applyBorder="1" applyAlignment="1">
      <alignment horizontal="center" vertical="bottom" textRotation="0" wrapText="false" shrinkToFit="false"/>
    </xf>
    <xf xfId="0" fontId="6" numFmtId="171" fillId="2" borderId="7" applyFont="1" applyNumberFormat="1" applyFill="0" applyBorder="1" applyAlignment="0">
      <alignment horizontal="general" vertical="bottom" textRotation="0" wrapText="false" shrinkToFit="false"/>
    </xf>
    <xf xfId="0" fontId="6" numFmtId="171" fillId="2" borderId="12" applyFont="1" applyNumberFormat="1" applyFill="0" applyBorder="1" applyAlignment="0">
      <alignment horizontal="general" vertical="bottom" textRotation="0" wrapText="false" shrinkToFit="false"/>
    </xf>
    <xf xfId="0" fontId="6" numFmtId="171" fillId="2" borderId="7" applyFont="1" applyNumberFormat="1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71" fillId="2" borderId="0" applyFont="1" applyNumberFormat="1" applyFill="0" applyBorder="0" applyAlignment="1">
      <alignment horizontal="center" vertical="bottom" textRotation="0" wrapText="false" shrinkToFit="false"/>
    </xf>
    <xf xfId="0" fontId="6" numFmtId="174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>
      <alignment horizontal="general" vertical="bottom" textRotation="0" wrapText="false" shrinkToFit="false"/>
    </xf>
    <xf xfId="0" fontId="16" numFmtId="0" fillId="2" borderId="0" applyFont="1" applyNumberFormat="0" applyFill="0" applyBorder="0" applyAlignment="0">
      <alignment horizontal="general" vertical="bottom" textRotation="0" wrapText="false" shrinkToFit="false"/>
    </xf>
    <xf xfId="0" fontId="17" numFmtId="0" fillId="2" borderId="0" applyFont="1" applyNumberFormat="0" applyFill="0" applyBorder="0" applyAlignment="0">
      <alignment horizontal="general" vertical="bottom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7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4" applyFont="1" applyNumberFormat="1" applyFill="0" applyBorder="1" applyAlignment="1">
      <alignment horizontal="center" vertical="bottom" textRotation="0" wrapText="false" shrinkToFit="false"/>
    </xf>
    <xf xfId="0" fontId="1" numFmtId="164" fillId="2" borderId="7" applyFont="1" applyNumberFormat="1" applyFill="0" applyBorder="1" applyAlignment="1">
      <alignment horizontal="center" vertical="bottom" textRotation="0" wrapText="false" shrinkToFit="false"/>
    </xf>
    <xf xfId="0" fontId="2" numFmtId="165" fillId="2" borderId="12" applyFont="1" applyNumberFormat="1" applyFill="0" applyBorder="1" applyAlignment="0">
      <alignment horizontal="general" vertical="bottom" textRotation="0" wrapText="false" shrinkToFit="false"/>
    </xf>
    <xf xfId="0" fontId="2" numFmtId="165" fillId="2" borderId="13" applyFont="1" applyNumberFormat="1" applyFill="0" applyBorder="1" applyAlignment="0">
      <alignment horizontal="general" vertical="bottom" textRotation="0" wrapText="false" shrinkToFit="false"/>
    </xf>
    <xf xfId="0" fontId="1" numFmtId="166" fillId="2" borderId="7" applyFont="1" applyNumberFormat="1" applyFill="0" applyBorder="1" applyAlignment="1">
      <alignment horizontal="center" vertical="bottom" textRotation="0" wrapText="false" shrinkToFit="false"/>
    </xf>
    <xf xfId="0" fontId="1" numFmtId="165" fillId="2" borderId="11" applyFont="1" applyNumberFormat="1" applyFill="0" applyBorder="1" applyAlignment="0">
      <alignment horizontal="general" vertical="bottom" textRotation="0" wrapText="false" shrinkToFit="false"/>
    </xf>
    <xf xfId="0" fontId="1" numFmtId="165" fillId="2" borderId="14" applyFont="1" applyNumberFormat="1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0">
      <alignment horizontal="general" vertical="bottom" textRotation="0" wrapText="false" shrinkToFit="false"/>
    </xf>
    <xf xfId="0" fontId="1" numFmtId="165" fillId="2" borderId="9" applyFont="1" applyNumberFormat="1" applyFill="0" applyBorder="1" applyAlignment="0">
      <alignment horizontal="general" vertical="bottom" textRotation="0" wrapText="false" shrinkToFit="false"/>
    </xf>
    <xf xfId="0" fontId="1" numFmtId="165" fillId="2" borderId="10" applyFont="1" applyNumberFormat="1" applyFill="0" applyBorder="1" applyAlignment="0">
      <alignment horizontal="general" vertical="bottom" textRotation="0" wrapText="false" shrinkToFit="false"/>
    </xf>
    <xf xfId="0" fontId="1" numFmtId="174" fillId="2" borderId="5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0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5" fillId="2" borderId="5" applyFont="1" applyNumberFormat="1" applyFill="0" applyBorder="1" applyAlignment="0">
      <alignment horizontal="general" vertical="bottom" textRotation="0" wrapText="false" shrinkToFit="false"/>
    </xf>
    <xf xfId="0" fontId="1" numFmtId="165" fillId="2" borderId="2" applyFont="1" applyNumberFormat="1" applyFill="0" applyBorder="1" applyAlignment="0">
      <alignment horizontal="general" vertical="bottom" textRotation="0" wrapText="false" shrinkToFit="false"/>
    </xf>
    <xf xfId="0" fontId="19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4" applyFont="1" applyNumberFormat="1" applyFill="0" applyBorder="1" applyAlignment="0">
      <alignment horizontal="general" vertical="bottom" textRotation="0" wrapText="false" shrinkToFit="false"/>
    </xf>
    <xf xfId="0" fontId="1" numFmtId="165" fillId="2" borderId="13" applyFont="1" applyNumberFormat="1" applyFill="0" applyBorder="1" applyAlignment="0">
      <alignment horizontal="general" vertical="bottom" textRotation="0" wrapText="false" shrinkToFit="false"/>
    </xf>
    <xf xfId="0" fontId="2" numFmtId="165" fillId="2" borderId="3" applyFont="1" applyNumberFormat="1" applyFill="0" applyBorder="1" applyAlignment="0">
      <alignment horizontal="general" vertical="bottom" textRotation="0" wrapText="false" shrinkToFit="false"/>
    </xf>
    <xf xfId="0" fontId="2" numFmtId="165" fillId="2" borderId="14" applyFont="1" applyNumberFormat="1" applyFill="0" applyBorder="1" applyAlignment="0">
      <alignment horizontal="general" vertical="bottom" textRotation="0" wrapText="false" shrinkToFit="false"/>
    </xf>
    <xf xfId="0" fontId="2" numFmtId="165" fillId="2" borderId="2" applyFont="1" applyNumberFormat="1" applyFill="0" applyBorder="1" applyAlignment="0">
      <alignment horizontal="general" vertical="bottom" textRotation="0" wrapText="false" shrinkToFit="false"/>
    </xf>
    <xf xfId="0" fontId="2" numFmtId="165" fillId="2" borderId="9" applyFont="1" applyNumberFormat="1" applyFill="0" applyBorder="1" applyAlignment="0">
      <alignment horizontal="general" vertical="bottom" textRotation="0" wrapText="false" shrinkToFit="false"/>
    </xf>
    <xf xfId="0" fontId="2" numFmtId="165" fillId="2" borderId="11" applyFont="1" applyNumberFormat="1" applyFill="0" applyBorder="1" applyAlignment="0">
      <alignment horizontal="general" vertical="bottom" textRotation="0" wrapText="false" shrinkToFit="false"/>
    </xf>
    <xf xfId="0" fontId="2" numFmtId="165" fillId="2" borderId="4" applyFont="1" applyNumberFormat="1" applyFill="0" applyBorder="1" applyAlignment="0">
      <alignment horizontal="general" vertical="bottom" textRotation="0" wrapText="false" shrinkToFit="false"/>
    </xf>
    <xf xfId="0" fontId="2" numFmtId="165" fillId="2" borderId="6" applyFont="1" applyNumberFormat="1" applyFill="0" applyBorder="1" applyAlignment="0">
      <alignment horizontal="general" vertical="bottom" textRotation="0" wrapText="false" shrinkToFit="false"/>
    </xf>
    <xf xfId="0" fontId="2" numFmtId="165" fillId="2" borderId="15" applyFont="1" applyNumberFormat="1" applyFill="0" applyBorder="1" applyAlignment="0">
      <alignment horizontal="general" vertical="bottom" textRotation="0" wrapText="false" shrinkToFit="false"/>
    </xf>
    <xf xfId="0" fontId="2" numFmtId="165" fillId="2" borderId="10" applyFont="1" applyNumberFormat="1" applyFill="0" applyBorder="1" applyAlignment="0">
      <alignment horizontal="general" vertical="bottom" textRotation="0" wrapText="false" shrinkToFit="false"/>
    </xf>
    <xf xfId="0" fontId="1" numFmtId="165" fillId="2" borderId="8" applyFont="1" applyNumberFormat="1" applyFill="0" applyBorder="1" applyAlignment="0">
      <alignment horizontal="general" vertical="bottom" textRotation="0" wrapText="false" shrinkToFit="false"/>
    </xf>
    <xf xfId="0" fontId="20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7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7" fillId="2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167" fillId="2" borderId="1" applyFont="1" applyNumberFormat="1" applyFill="0" applyBorder="1" applyAlignment="0">
      <alignment horizontal="general" vertical="bottom" textRotation="0" wrapText="false" shrinkToFit="false"/>
    </xf>
    <xf xfId="0" fontId="2" numFmtId="167" fillId="2" borderId="3" applyFont="1" applyNumberFormat="1" applyFill="0" applyBorder="1" applyAlignment="0">
      <alignment horizontal="general" vertical="bottom" textRotation="0" wrapText="false" shrinkToFit="false"/>
    </xf>
    <xf xfId="0" fontId="1" numFmtId="167" fillId="2" borderId="7" applyFont="1" applyNumberFormat="1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167" fillId="2" borderId="5" applyFont="1" applyNumberFormat="1" applyFill="0" applyBorder="1" applyAlignment="0">
      <alignment horizontal="general" vertical="bottom" textRotation="0" wrapText="false" shrinkToFit="false"/>
    </xf>
    <xf xfId="0" fontId="2" numFmtId="167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165" fillId="5" borderId="5" applyFont="1" applyNumberFormat="1" applyFill="1" applyBorder="1" applyAlignment="0">
      <alignment horizontal="general" vertical="bottom" textRotation="0" wrapText="false" shrinkToFit="false"/>
    </xf>
    <xf xfId="0" fontId="1" numFmtId="165" fillId="5" borderId="0" applyFont="1" applyNumberFormat="1" applyFill="1" applyBorder="0" applyAlignment="0">
      <alignment horizontal="general" vertical="bottom" textRotation="0" wrapText="false" shrinkToFit="false"/>
    </xf>
    <xf xfId="0" fontId="1" numFmtId="165" fillId="5" borderId="1" applyFont="1" applyNumberFormat="1" applyFill="1" applyBorder="1" applyAlignment="0">
      <alignment horizontal="general" vertical="bottom" textRotation="0" wrapText="false" shrinkToFit="false"/>
    </xf>
    <xf xfId="0" fontId="1" numFmtId="165" fillId="5" borderId="3" applyFont="1" applyNumberFormat="1" applyFill="1" applyBorder="1" applyAlignment="0">
      <alignment horizontal="general" vertical="bottom" textRotation="0" wrapText="false" shrinkToFit="false"/>
    </xf>
    <xf xfId="0" fontId="2" numFmtId="165" fillId="5" borderId="0" applyFont="1" applyNumberFormat="1" applyFill="1" applyBorder="0" applyAlignment="0">
      <alignment horizontal="general" vertical="bottom" textRotation="0" wrapText="false" shrinkToFit="false"/>
    </xf>
    <xf xfId="0" fontId="2" numFmtId="165" fillId="5" borderId="14" applyFont="1" applyNumberFormat="1" applyFill="1" applyBorder="1" applyAlignment="0">
      <alignment horizontal="general" vertical="bottom" textRotation="0" wrapText="false" shrinkToFit="false"/>
    </xf>
    <xf xfId="0" fontId="1" numFmtId="165" fillId="5" borderId="7" applyFont="1" applyNumberFormat="1" applyFill="1" applyBorder="1" applyAlignment="0">
      <alignment horizontal="general" vertical="bottom" textRotation="0" wrapText="false" shrinkToFit="false"/>
    </xf>
    <xf xfId="0" fontId="1" numFmtId="165" fillId="5" borderId="8" applyFont="1" applyNumberFormat="1" applyFill="1" applyBorder="1" applyAlignment="0">
      <alignment horizontal="general" vertical="bottom" textRotation="0" wrapText="false" shrinkToFit="false"/>
    </xf>
    <xf xfId="0" fontId="2" numFmtId="165" fillId="5" borderId="7" applyFont="1" applyNumberFormat="1" applyFill="1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true" shrinkToFit="false"/>
    </xf>
    <xf xfId="0" fontId="1" numFmtId="165" fillId="5" borderId="14" applyFont="1" applyNumberFormat="1" applyFill="1" applyBorder="1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165" fillId="5" borderId="9" applyFont="1" applyNumberFormat="1" applyFill="1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165" fillId="5" borderId="5" applyFont="1" applyNumberFormat="1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165" fillId="5" borderId="1" applyFont="1" applyNumberFormat="1" applyFill="1" applyBorder="1" applyAlignment="0">
      <alignment horizontal="general" vertical="bottom" textRotation="0" wrapText="false" shrinkToFit="false"/>
    </xf>
    <xf xfId="0" fontId="1" numFmtId="165" fillId="5" borderId="3" applyFont="1" applyNumberFormat="1" applyFill="1" applyBorder="1" applyAlignment="0">
      <alignment horizontal="general" vertical="bottom" textRotation="0" wrapText="false" shrinkToFit="false"/>
    </xf>
    <xf xfId="0" fontId="2" numFmtId="165" fillId="5" borderId="5" applyFont="1" applyNumberFormat="1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165" fillId="5" borderId="4" applyFont="1" applyNumberFormat="1" applyFill="1" applyBorder="1" applyAlignment="0">
      <alignment horizontal="general" vertical="bottom" textRotation="0" wrapText="false" shrinkToFit="false"/>
    </xf>
    <xf xfId="0" fontId="1" numFmtId="165" fillId="5" borderId="4" applyFont="1" applyNumberFormat="1" applyFill="1" applyBorder="1" applyAlignment="0">
      <alignment horizontal="general" vertical="bottom" textRotation="0" wrapText="false" shrinkToFit="false"/>
    </xf>
    <xf xfId="0" fontId="2" numFmtId="165" fillId="5" borderId="3" applyFont="1" applyNumberFormat="1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3" applyFont="1" applyNumberFormat="0" applyFill="1" applyBorder="1" applyAlignment="0">
      <alignment horizontal="general" vertical="bottom" textRotation="0" wrapText="false" shrinkToFit="false"/>
    </xf>
    <xf xfId="0" fontId="7" numFmtId="165" fillId="5" borderId="5" applyFont="1" applyNumberFormat="1" applyFill="1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172" fillId="2" borderId="11" applyFont="1" applyNumberFormat="1" applyFill="0" applyBorder="1" applyAlignment="1">
      <alignment horizontal="center" vertical="bottom" textRotation="0" wrapText="false" shrinkToFit="false"/>
    </xf>
    <xf xfId="0" fontId="6" numFmtId="172" fillId="2" borderId="3" applyFont="1" applyNumberFormat="1" applyFill="0" applyBorder="1" applyAlignment="1">
      <alignment horizontal="center" vertical="bottom" textRotation="0" wrapText="false" shrinkToFit="false"/>
    </xf>
    <xf xfId="0" fontId="6" numFmtId="172" fillId="2" borderId="13" applyFont="1" applyNumberFormat="1" applyFill="0" applyBorder="1" applyAlignment="1">
      <alignment horizontal="center" vertical="bottom" textRotation="0" wrapText="false" shrinkToFit="false"/>
    </xf>
    <xf xfId="0" fontId="6" numFmtId="172" fillId="2" borderId="0" applyFont="1" applyNumberFormat="1" applyFill="0" applyBorder="0" applyAlignment="0">
      <alignment horizontal="general" vertical="bottom" textRotation="0" wrapText="false" shrinkToFit="false"/>
    </xf>
    <xf xfId="0" fontId="1" numFmtId="172" fillId="2" borderId="5" applyFont="1" applyNumberFormat="1" applyFill="0" applyBorder="1" applyAlignment="0">
      <alignment horizontal="general" vertical="bottom" textRotation="0" wrapText="false" shrinkToFit="false"/>
    </xf>
    <xf xfId="0" fontId="2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71" fillId="2" borderId="5" applyFont="1" applyNumberFormat="1" applyFill="0" applyBorder="1" applyAlignment="0">
      <alignment horizontal="general" vertical="bottom" textRotation="0" wrapText="false" shrinkToFit="false"/>
    </xf>
    <xf xfId="0" fontId="7" numFmtId="165" fillId="2" borderId="5" applyFont="1" applyNumberFormat="1" applyFill="0" applyBorder="1" applyAlignment="0">
      <alignment horizontal="general" vertical="bottom" textRotation="0" wrapText="false" shrinkToFit="false"/>
    </xf>
    <xf xfId="0" fontId="2" numFmtId="165" fillId="5" borderId="2" applyFont="1" applyNumberFormat="1" applyFill="1" applyBorder="1" applyAlignment="0">
      <alignment horizontal="general" vertical="bottom" textRotation="0" wrapText="false" shrinkToFit="false"/>
    </xf>
    <xf xfId="0" fontId="2" numFmtId="165" fillId="5" borderId="13" applyFont="1" applyNumberFormat="1" applyFill="1" applyBorder="1" applyAlignment="0">
      <alignment horizontal="general" vertical="bottom" textRotation="0" wrapText="false" shrinkToFit="false"/>
    </xf>
    <xf xfId="0" fontId="2" numFmtId="165" fillId="5" borderId="6" applyFont="1" applyNumberFormat="1" applyFill="1" applyBorder="1" applyAlignment="0">
      <alignment horizontal="general" vertical="bottom" textRotation="0" wrapText="false" shrinkToFit="false"/>
    </xf>
    <xf xfId="0" fontId="1" numFmtId="165" fillId="5" borderId="2" applyFont="1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2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7" applyFont="1" applyNumberFormat="1" applyFill="0" applyBorder="1" applyAlignment="1">
      <alignment horizontal="center" vertical="bottom" textRotation="0" wrapText="false" shrinkToFit="false"/>
    </xf>
    <xf xfId="0" fontId="7" numFmtId="171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166" fillId="2" borderId="3" applyFont="1" applyNumberFormat="1" applyFill="0" applyBorder="1" applyAlignment="1">
      <alignment horizontal="center" vertical="bottom" textRotation="0" wrapText="false" shrinkToFit="false"/>
    </xf>
    <xf xfId="0" fontId="2" numFmtId="166" fillId="2" borderId="5" applyFont="1" applyNumberFormat="1" applyFill="0" applyBorder="1" applyAlignment="1">
      <alignment horizontal="center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2" numFmtId="166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1">
      <alignment horizontal="center" vertical="bottom" textRotation="0" wrapText="false" shrinkToFit="false"/>
    </xf>
    <xf xfId="0" fontId="2" numFmtId="9" fillId="2" borderId="0" applyFont="1" applyNumberFormat="1" applyFill="0" applyBorder="0" applyAlignment="1">
      <alignment horizontal="center" vertical="bottom" textRotation="0" wrapText="false" shrinkToFit="false"/>
    </xf>
    <xf xfId="0" fontId="1" numFmtId="166" fillId="2" borderId="11" applyFont="1" applyNumberFormat="1" applyFill="0" applyBorder="1" applyAlignment="1">
      <alignment horizontal="center" vertical="bottom" textRotation="0" wrapText="false" shrinkToFit="false"/>
    </xf>
    <xf xfId="0" fontId="2" numFmtId="166" fillId="2" borderId="15" applyFont="1" applyNumberFormat="1" applyFill="0" applyBorder="1" applyAlignment="1">
      <alignment horizontal="center" vertical="bottom" textRotation="0" wrapText="false" shrinkToFit="false"/>
    </xf>
    <xf xfId="0" fontId="2" numFmtId="166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11" applyFont="1" applyNumberFormat="1" applyFill="0" applyBorder="1" applyAlignment="1">
      <alignment horizontal="center" vertical="bottom" textRotation="0" wrapText="false" shrinkToFit="false"/>
    </xf>
    <xf xfId="0" fontId="2" numFmtId="166" fillId="2" borderId="15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2" numFmtId="166" fillId="2" borderId="3" applyFont="1" applyNumberFormat="1" applyFill="0" applyBorder="1" applyAlignment="1">
      <alignment horizontal="center" vertical="bottom" textRotation="0" wrapText="false" shrinkToFit="false"/>
    </xf>
    <xf xfId="0" fontId="2" numFmtId="166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1">
      <alignment horizontal="center" vertical="bottom" textRotation="0" wrapText="false" shrinkToFit="false"/>
    </xf>
    <xf xfId="0" fontId="1" numFmtId="9" fillId="2" borderId="0" applyFont="1" applyNumberFormat="1" applyFill="0" applyBorder="0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164" fillId="5" borderId="1" applyFont="1" applyNumberFormat="1" applyFill="1" applyBorder="1" applyAlignment="0">
      <alignment horizontal="general" vertical="bottom" textRotation="0" wrapText="false" shrinkToFit="false"/>
    </xf>
    <xf xfId="0" fontId="1" numFmtId="164" fillId="5" borderId="3" applyFont="1" applyNumberFormat="1" applyFill="1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164" fillId="5" borderId="5" applyFont="1" applyNumberFormat="1" applyFill="1" applyBorder="1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165" fillId="5" borderId="0" applyFont="1" applyNumberFormat="1" applyFill="1" applyBorder="0" applyAlignment="0">
      <alignment horizontal="general" vertical="bottom" textRotation="0" wrapText="false" shrinkToFit="false"/>
    </xf>
    <xf xfId="0" fontId="1" numFmtId="164" fillId="5" borderId="0" applyFont="1" applyNumberFormat="1" applyFill="1" applyBorder="0" applyAlignment="0">
      <alignment horizontal="general" vertical="bottom" textRotation="0" wrapText="false" shrinkToFit="false"/>
    </xf>
    <xf xfId="0" fontId="2" numFmtId="164" fillId="5" borderId="7" applyFont="1" applyNumberFormat="1" applyFill="1" applyBorder="1" applyAlignment="0">
      <alignment horizontal="general" vertical="bottom" textRotation="0" wrapText="false" shrinkToFit="false"/>
    </xf>
    <xf xfId="0" fontId="2" numFmtId="164" fillId="5" borderId="0" applyFont="1" applyNumberFormat="1" applyFill="1" applyBorder="0" applyAlignment="0">
      <alignment horizontal="general" vertical="bottom" textRotation="0" wrapText="false" shrinkToFit="false"/>
    </xf>
    <xf xfId="0" fontId="2" numFmtId="165" fillId="5" borderId="5" applyFont="1" applyNumberFormat="1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65" fillId="2" borderId="3" applyFont="1" applyNumberFormat="1" applyFill="0" applyBorder="1" applyAlignment="0">
      <alignment horizontal="general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5" applyFont="1" applyNumberFormat="1" applyFill="0" applyBorder="1" applyAlignment="0">
      <alignment horizontal="general" vertical="bottom" textRotation="0" wrapText="false" shrinkToFit="false"/>
    </xf>
    <xf xfId="0" fontId="2" numFmtId="164" fillId="2" borderId="5" applyFont="1" applyNumberFormat="1" applyFill="0" applyBorder="1" applyAlignment="1">
      <alignment horizontal="center" vertical="bottom" textRotation="0" wrapText="false" shrinkToFit="false"/>
    </xf>
    <xf xfId="0" fontId="2" numFmtId="164" fillId="2" borderId="5" applyFont="1" applyNumberFormat="1" applyFill="0" applyBorder="1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165" fillId="2" borderId="7" applyFont="1" applyNumberFormat="1" applyFill="0" applyBorder="1" applyAlignment="0">
      <alignment horizontal="general" vertical="bottom" textRotation="0" wrapText="false" shrinkToFit="false"/>
    </xf>
    <xf xfId="0" fontId="2" numFmtId="0" fillId="5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5" borderId="9" applyFont="1" applyNumberFormat="0" applyFill="1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7" numFmtId="171" fillId="9" borderId="0" applyFont="1" applyNumberFormat="1" applyFill="1" applyBorder="0" applyAlignment="0">
      <alignment horizontal="general" vertical="bottom" textRotation="0" wrapText="false" shrinkToFit="false"/>
    </xf>
    <xf xfId="0" fontId="7" numFmtId="1" fillId="9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Inicio">
    <outlinePr summaryBelow="1" summaryRight="1"/>
  </sheetPr>
  <dimension ref="A1:C24"/>
  <sheetViews>
    <sheetView tabSelected="0" workbookViewId="0" showGridLines="true" showRowColHeaders="1">
      <selection activeCell="A9" sqref="A9"/>
    </sheetView>
  </sheetViews>
  <sheetFormatPr defaultRowHeight="14.4" outlineLevelRow="0" outlineLevelCol="0"/>
  <sheetData>
    <row r="1" spans="1:3">
      <c r="A1" t="s">
        <v>0</v>
      </c>
      <c r="B1" s="145" t="str">
        <f>BDER!M2</f>
        <v>01-2021</v>
      </c>
    </row>
    <row r="2" spans="1:3">
      <c r="A2" t="s">
        <v>1</v>
      </c>
      <c r="B2" s="366">
        <f>EDATE(Mes_cierre,1)</f>
        <v>44228</v>
      </c>
    </row>
    <row r="3" spans="1:3">
      <c r="B3" t="s">
        <v>2</v>
      </c>
      <c r="C3" t="s">
        <v>3</v>
      </c>
    </row>
    <row r="4" spans="1:3">
      <c r="A4" t="s">
        <v>4</v>
      </c>
      <c r="B4" s="273">
        <f>division!J2</f>
        <v>20.2248</v>
      </c>
    </row>
    <row r="5" spans="1:3">
      <c r="A5" t="s">
        <v>5</v>
      </c>
      <c r="B5">
        <f>division!J10/MONTH(Mes_cierre)</f>
        <v>20.2248</v>
      </c>
    </row>
    <row r="6" spans="1:3">
      <c r="A6" t="s">
        <v>6</v>
      </c>
      <c r="B6">
        <f>division!L2</f>
        <v>1</v>
      </c>
      <c r="C6">
        <f>division!L10</f>
        <v>1</v>
      </c>
    </row>
    <row r="7" spans="1:3">
      <c r="A7" t="s">
        <v>7</v>
      </c>
      <c r="B7">
        <f>division!K2</f>
        <v>1</v>
      </c>
      <c r="C7">
        <f>division!K10</f>
        <v>1</v>
      </c>
    </row>
    <row r="8" spans="1:3">
      <c r="A8" t="s">
        <v>8</v>
      </c>
    </row>
    <row r="9" spans="1:3">
      <c r="A9" t="s">
        <v>9</v>
      </c>
    </row>
    <row r="10" spans="1:3">
      <c r="A10" s="285"/>
    </row>
    <row r="11" spans="1:3">
      <c r="A11" s="286"/>
    </row>
    <row r="23" spans="1:3">
      <c r="A23" s="183"/>
    </row>
    <row r="24" spans="1:3">
      <c r="A24" s="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TablasER">
    <outlinePr summaryBelow="1" summaryRight="1"/>
  </sheetPr>
  <dimension ref="A1:BH136"/>
  <sheetViews>
    <sheetView tabSelected="0" workbookViewId="0" zoomScale="70" zoomScaleNormal="70" showGridLines="false" showRowColHeaders="1">
      <selection activeCell="O72" sqref="O72"/>
    </sheetView>
  </sheetViews>
  <sheetFormatPr defaultRowHeight="14.4" outlineLevelRow="0" outlineLevelCol="0"/>
  <cols>
    <col min="2" max="2" width="21.1796875" customWidth="true" style="0"/>
    <col min="3" max="3" width="13.54296875" hidden="true" customWidth="true" style="0"/>
    <col min="4" max="4" width="0" hidden="true" customWidth="true" style="0"/>
    <col min="5" max="5" width="12.26953125" customWidth="true" style="0"/>
    <col min="7" max="7" width="11.1796875" customWidth="true" style="0"/>
    <col min="10" max="10" width="10.81640625" customWidth="true" style="0"/>
    <col min="11" max="11" width="13.81640625" customWidth="true" style="0"/>
    <col min="13" max="13" width="11.1796875" customWidth="true" style="0"/>
    <col min="15" max="15" width="11.81640625" customWidth="true" style="0"/>
    <col min="17" max="17" width="11.1796875" customWidth="true" style="0"/>
    <col min="19" max="19" width="11.81640625" customWidth="true" style="0"/>
    <col min="21" max="21" width="12" customWidth="true" style="0"/>
    <col min="23" max="23" width="11.54296875" customWidth="true" style="0"/>
    <col min="27" max="27" width="13.81640625" customWidth="true" style="0"/>
    <col min="31" max="31" width="13.81640625" customWidth="true" style="0"/>
    <col min="35" max="35" width="11" customWidth="true" style="0"/>
    <col min="36" max="36" width="11" customWidth="true" style="0"/>
    <col min="37" max="37" width="11" customWidth="true" style="0"/>
    <col min="38" max="38" width="11" customWidth="true" style="0"/>
    <col min="39" max="39" width="11" customWidth="true" style="0"/>
    <col min="40" max="40" width="11" customWidth="true" style="0"/>
    <col min="41" max="41" width="11" customWidth="true" style="0"/>
    <col min="42" max="42" width="11" customWidth="true" style="0"/>
    <col min="43" max="43" width="13.453125" customWidth="true" style="0"/>
    <col min="44" max="44" width="11" customWidth="true" style="0"/>
    <col min="45" max="45" width="11.1796875" customWidth="true" style="0"/>
    <col min="46" max="46" width="11" customWidth="true" style="0"/>
    <col min="47" max="47" width="13.453125" customWidth="true" style="0"/>
    <col min="48" max="48" width="11" customWidth="true" style="0"/>
    <col min="50" max="50" width="16.81640625" customWidth="true" style="0"/>
  </cols>
  <sheetData>
    <row r="2" spans="1:60" customHeight="1" ht="19">
      <c r="A2" t="s">
        <v>10</v>
      </c>
      <c r="B2" s="371">
        <v>14</v>
      </c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R2" s="26" t="s">
        <v>11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H2" s="26" t="s">
        <v>12</v>
      </c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X2" s="371" t="s">
        <v>13</v>
      </c>
      <c r="AY2" s="371"/>
      <c r="AZ2" s="371"/>
      <c r="BA2" s="371"/>
      <c r="BB2" s="371"/>
      <c r="BC2" s="371"/>
      <c r="BD2" s="371"/>
      <c r="BE2" s="371"/>
      <c r="BF2" s="371"/>
      <c r="BG2" s="371"/>
      <c r="BH2" s="371"/>
    </row>
    <row r="3" spans="1:60" customHeight="1" ht="14.5">
      <c r="B3" s="26"/>
      <c r="C3" s="2" t="s">
        <v>14</v>
      </c>
      <c r="D3" s="27"/>
      <c r="E3" s="2" t="s">
        <v>15</v>
      </c>
      <c r="F3" s="27"/>
      <c r="G3" s="2" t="s">
        <v>16</v>
      </c>
      <c r="H3" s="27"/>
      <c r="I3" s="2" t="s">
        <v>17</v>
      </c>
      <c r="J3" s="27"/>
      <c r="K3" s="28" t="s">
        <v>18</v>
      </c>
      <c r="L3" s="27"/>
      <c r="M3" s="2" t="s">
        <v>19</v>
      </c>
      <c r="N3" s="27"/>
      <c r="O3" s="2" t="s">
        <v>20</v>
      </c>
      <c r="P3" s="1"/>
      <c r="R3" s="25"/>
      <c r="S3" s="2" t="s">
        <v>14</v>
      </c>
      <c r="T3" s="27"/>
      <c r="U3" s="2" t="s">
        <v>15</v>
      </c>
      <c r="V3" s="27"/>
      <c r="W3" s="2" t="s">
        <v>16</v>
      </c>
      <c r="X3" s="27"/>
      <c r="Y3" s="2" t="s">
        <v>17</v>
      </c>
      <c r="Z3" s="27"/>
      <c r="AA3" s="28" t="s">
        <v>18</v>
      </c>
      <c r="AB3" s="27"/>
      <c r="AC3" s="2" t="s">
        <v>19</v>
      </c>
      <c r="AD3" s="27"/>
      <c r="AE3" s="2" t="s">
        <v>20</v>
      </c>
      <c r="AF3" s="1"/>
      <c r="AG3" s="25"/>
      <c r="AH3" s="25"/>
      <c r="AI3" s="2" t="s">
        <v>14</v>
      </c>
      <c r="AJ3" s="27"/>
      <c r="AK3" s="2" t="s">
        <v>15</v>
      </c>
      <c r="AL3" s="27"/>
      <c r="AM3" s="2" t="s">
        <v>16</v>
      </c>
      <c r="AN3" s="27"/>
      <c r="AO3" s="2" t="s">
        <v>17</v>
      </c>
      <c r="AP3" s="27"/>
      <c r="AQ3" s="28" t="s">
        <v>18</v>
      </c>
      <c r="AR3" s="27"/>
      <c r="AS3" s="2" t="s">
        <v>19</v>
      </c>
      <c r="AT3" s="27"/>
      <c r="AU3" s="2" t="s">
        <v>20</v>
      </c>
      <c r="AV3" s="1"/>
      <c r="AW3" s="25"/>
      <c r="AX3" s="1"/>
      <c r="AY3" s="2" t="s">
        <v>21</v>
      </c>
      <c r="AZ3" s="3"/>
      <c r="BA3" s="2" t="s">
        <v>22</v>
      </c>
      <c r="BB3" s="2"/>
      <c r="BC3" s="2" t="s">
        <v>23</v>
      </c>
      <c r="BD3" s="2"/>
      <c r="BE3" s="26" t="s">
        <v>24</v>
      </c>
      <c r="BF3" s="185"/>
      <c r="BG3" s="26" t="s">
        <v>25</v>
      </c>
      <c r="BH3" s="186"/>
    </row>
    <row r="4" spans="1:60">
      <c r="B4" s="7" t="s">
        <v>26</v>
      </c>
      <c r="C4" s="194"/>
      <c r="D4" s="29" t="str">
        <f>IF(C$4=0,"N.D.",C4/C$4)</f>
        <v>0</v>
      </c>
      <c r="E4" s="8">
        <f>TablasERxDiv!AA5</f>
        <v>53292.74775</v>
      </c>
      <c r="F4" s="29">
        <f>IF(E$4=0,"N.D.",E4/E$4)</f>
        <v>1</v>
      </c>
      <c r="G4" s="195">
        <f>TablasERxDiv!BP5*TC_MES</f>
        <v>31876.853956344</v>
      </c>
      <c r="H4" s="29">
        <f>IF(G$4=0,"N.D.",G4/G$4)</f>
        <v>1</v>
      </c>
      <c r="I4" s="195">
        <f>TablasERxDiv!CF5*TC_MES</f>
        <v>2085.131576448</v>
      </c>
      <c r="J4" s="29">
        <f>IF(I$4=0,"N.D.",I4/I$4)</f>
        <v>1</v>
      </c>
      <c r="K4" s="195">
        <f>TablasERxDiv!AT5</f>
        <v>172515.283915</v>
      </c>
      <c r="L4" s="29">
        <f>IF(K$4=0,"N.D.",K4/K$4)</f>
        <v>1</v>
      </c>
      <c r="M4" s="195">
        <f>TablasERxDiv!BC5</f>
        <v>7406.90976</v>
      </c>
      <c r="N4" s="29">
        <f>IF(M$4=0,"N.D.",M4/M$4)</f>
        <v>1</v>
      </c>
      <c r="O4" s="195">
        <f>+K4+E4+C4+M4+G4+I4</f>
        <v>267176.92695779</v>
      </c>
      <c r="P4" s="29">
        <f>IF(O$4=0,"N.D.",O4/O$4)</f>
        <v>1</v>
      </c>
      <c r="R4" s="7" t="s">
        <v>26</v>
      </c>
      <c r="S4" s="8"/>
      <c r="T4" s="29" t="str">
        <f>IF(S$4=0,"N.D.",S4/S$4)</f>
        <v>0</v>
      </c>
      <c r="U4" s="8">
        <f>(BDER!K4+BDER!K26+BDER!K48+BDER!K70+BDER!K92+BDER!K114)/1000</f>
        <v>0</v>
      </c>
      <c r="V4" s="29" t="str">
        <f>IF(U$4=0,"N.D.",U4/U$4)</f>
        <v>N.D.</v>
      </c>
      <c r="W4" s="8">
        <f>(BDER!K466+BDER!K489+BDER!K556+BDER!K601)*TC_MES/1000</f>
        <v>28326.0661128</v>
      </c>
      <c r="X4" s="29">
        <f>IF(W$4=0,"N.D.",W4/W$4)</f>
        <v>1</v>
      </c>
      <c r="Y4" s="8">
        <f>Y77*TC_MES</f>
        <v>2100.8511</v>
      </c>
      <c r="Z4" s="29">
        <f>IF(Y$4=0,"N.D.",Y4/Y$4)</f>
        <v>1</v>
      </c>
      <c r="AA4" s="8">
        <f>(BDER!K290+BDER!K312+BDER!G334+BDER!K356+BDER!K378+BDER!K400)/1000</f>
        <v>140114.96</v>
      </c>
      <c r="AB4" s="29">
        <f>IF(AA$4=0,"N.D.",Y4/AA$4)</f>
        <v>0.014993767260826</v>
      </c>
      <c r="AC4" s="8">
        <f>(BDER!K422+BDER!K444)/1000</f>
        <v>11272.662</v>
      </c>
      <c r="AD4" s="29">
        <f>IF(AC$4=0,"N.D.",AC4/AC$4)</f>
        <v>1</v>
      </c>
      <c r="AE4" s="8">
        <f>+AA4+U4+S4+AC4+W4+Y4</f>
        <v>181814.5392128</v>
      </c>
      <c r="AF4" s="29">
        <f>IF(AE$4=0,"N.D.",AE4/AE$4)</f>
        <v>1</v>
      </c>
      <c r="AG4" s="25"/>
      <c r="AH4" s="7" t="s">
        <v>26</v>
      </c>
      <c r="AI4" s="8"/>
      <c r="AJ4" s="29" t="str">
        <f>IF(AI$4=0,"N.D.",AI4/AI$4)</f>
        <v>0</v>
      </c>
      <c r="AK4" s="8">
        <f>(BDER!G4+BDER!G26+BDER!G48+BDER!G70+BDER!G92+BDER!G114)/1000</f>
        <v>59051.46263</v>
      </c>
      <c r="AL4" s="29">
        <f>IF(AK$4=0,"N.D.",AK4/AK$4)</f>
        <v>1</v>
      </c>
      <c r="AM4" s="8">
        <f>(BDER!G466+BDER!G489+BDER!G556+BDER!G601)*TC_MES/1000</f>
        <v>27242.972252352</v>
      </c>
      <c r="AN4" s="29">
        <f>IF(AM$4=0,"N.D.",AM4/AM$4)</f>
        <v>1</v>
      </c>
      <c r="AO4" s="8">
        <f>AO77*TC_MES</f>
        <v>2664.635804568</v>
      </c>
      <c r="AP4" s="29">
        <f>IF(AO$4=0,"N.D.",AO4/AO$4)</f>
        <v>1</v>
      </c>
      <c r="AQ4" s="8">
        <f>(BDER!G290+BDER!G312+BDER!E334+BDER!G356+BDER!G378+BDER!G400)/1000</f>
        <v>162469.56968</v>
      </c>
      <c r="AR4" s="29">
        <f>IF(AQ$4=0,"N.D.",AQ4/AQ$4)</f>
        <v>1</v>
      </c>
      <c r="AS4" s="8">
        <f>(BDER!G422+BDER!G444)/1000</f>
        <v>1309.97786</v>
      </c>
      <c r="AT4" s="29">
        <f>IF(AS$4=0,"N.D.",AS4/AS$4)</f>
        <v>1</v>
      </c>
      <c r="AU4" s="8">
        <f>+AQ4+AK4+AI4+AS4+AM4+AO4</f>
        <v>252738.61822692</v>
      </c>
      <c r="AV4" s="29">
        <f>IF(AU$4=0,"N.D.",AU4/AU$4)</f>
        <v>1</v>
      </c>
      <c r="AW4" s="25"/>
      <c r="AX4" s="1" t="s">
        <v>26</v>
      </c>
      <c r="AY4" s="8">
        <f>O4</f>
        <v>267176.92695779</v>
      </c>
      <c r="AZ4" s="9">
        <f>IF(AY$4=0,"N.D.",AY4/AY$4)</f>
        <v>1</v>
      </c>
      <c r="BA4" s="8">
        <f>AE4</f>
        <v>181814.5392128</v>
      </c>
      <c r="BB4" s="9">
        <f>IF(BA$4=0,"N.D.",BA4/BA$4)</f>
        <v>1</v>
      </c>
      <c r="BC4" s="8">
        <f>AU4</f>
        <v>252738.61822692</v>
      </c>
      <c r="BD4" s="9">
        <f>IF(BC$4=0,"N.D.",BC4/BC$4)</f>
        <v>1</v>
      </c>
      <c r="BE4" s="8">
        <f>+AY4-BA4</f>
        <v>85362.387744992</v>
      </c>
      <c r="BF4" s="10">
        <f>IF(BA4=0,"N.D.",AY4/BA4-1)</f>
        <v>0.46950253876607</v>
      </c>
      <c r="BG4" s="8">
        <f>AY4-BC4</f>
        <v>14438.308730872</v>
      </c>
      <c r="BH4" s="10">
        <f>IF(BC4=0, "N.D.",AY4/BC4-1)</f>
        <v>0.057127433995499</v>
      </c>
    </row>
    <row r="5" spans="1:60">
      <c r="B5" s="7" t="s">
        <v>27</v>
      </c>
      <c r="C5" s="196"/>
      <c r="D5" s="193" t="str">
        <f>IF(C$4=0,"N.D.",C5/C$4)</f>
        <v>0</v>
      </c>
      <c r="E5" s="34">
        <f>TablasERxDiv!AA6</f>
        <v>27361.20147</v>
      </c>
      <c r="F5" s="190">
        <f>IF(E$4=0,"N.D.",E5/E$4)</f>
        <v>0.51341322459771</v>
      </c>
      <c r="G5" s="197">
        <f>TablasERxDiv!BP6*TC_MES</f>
        <v>9568.09096884</v>
      </c>
      <c r="H5" s="193">
        <f>IF(G$4=0,"N.D.",G5/G$4)</f>
        <v>0.30015794475652</v>
      </c>
      <c r="I5" s="197">
        <f>TablasERxDiv!CF6*TC_MES</f>
        <v>0</v>
      </c>
      <c r="J5" s="190">
        <f>IF(I$4=0,"N.D.",I5/I$4)</f>
        <v>0</v>
      </c>
      <c r="K5" s="197">
        <f>TablasERxDiv!AT6</f>
        <v>131951.14122</v>
      </c>
      <c r="L5" s="190">
        <f>IF(K$4=0,"N.D.",K5/K$4)</f>
        <v>0.76486638299835</v>
      </c>
      <c r="M5" s="197">
        <f>TablasERxDiv!BC6</f>
        <v>3876.13193</v>
      </c>
      <c r="N5" s="190">
        <f>IF(M$4=0,"N.D.",M5/M$4)</f>
        <v>0.52331296797114</v>
      </c>
      <c r="O5" s="197">
        <f>+K5+E5+C5+M5+G5+I5</f>
        <v>172756.56558884</v>
      </c>
      <c r="P5" s="193">
        <f>IF(O$4=0,"N.D.",O5/O$4)</f>
        <v>0.64659986757064</v>
      </c>
      <c r="R5" s="7" t="s">
        <v>27</v>
      </c>
      <c r="S5" s="8"/>
      <c r="T5" s="42" t="str">
        <f>IF(S$4=0,"N.D.",S5/S$4)</f>
        <v>0</v>
      </c>
      <c r="U5" s="8">
        <f>(BDER!K5+BDER!K27+BDER!K49+BDER!K71+BDER!K93+BDER!K115)/1000</f>
        <v>0</v>
      </c>
      <c r="V5" s="42" t="str">
        <f>IF(U$4=0,"N.D.",U5/U$4)</f>
        <v>N.D.</v>
      </c>
      <c r="W5" s="8">
        <f>(BDER!K467+BDER!K490+BDER!K557+BDER!K602)*TC_MES/1000</f>
        <v>8858.866896</v>
      </c>
      <c r="X5" s="42">
        <f>IF(W$4=0,"N.D.",W5/W$4)</f>
        <v>0.31274610673866</v>
      </c>
      <c r="Y5" s="8">
        <f>Y78*TC_MES</f>
        <v>0</v>
      </c>
      <c r="Z5" s="42">
        <f>IF(Y$4=0,"N.D.",Y5/Y$4)</f>
        <v>0</v>
      </c>
      <c r="AA5" s="8">
        <f>(BDER!K291+BDER!K313+BDER!G335+BDER!K357+BDER!K379+BDER!K401)/1000</f>
        <v>93207.816</v>
      </c>
      <c r="AB5" s="42">
        <f>IF(AA$4=0,"N.D.",Y4/AA$4)</f>
        <v>0.014993767260826</v>
      </c>
      <c r="AC5" s="8">
        <f>(BDER!K423+BDER!K445)/1000</f>
        <v>7537.833</v>
      </c>
      <c r="AD5" s="42">
        <f>IF(AC$4=0,"N.D.",AC5/AC$4)</f>
        <v>0.66868260575896</v>
      </c>
      <c r="AE5" s="11">
        <f>+AA5+U5+S5+AC5+W5+Y5</f>
        <v>109604.515896</v>
      </c>
      <c r="AF5" s="42">
        <f>IF(AE$4=0,"N.D.",AE5/AE$4)</f>
        <v>0.60283691486145</v>
      </c>
      <c r="AG5" s="40"/>
      <c r="AH5" s="7" t="s">
        <v>27</v>
      </c>
      <c r="AI5" s="8"/>
      <c r="AJ5" s="42" t="str">
        <f>IF(AI$4=0,"N.D.",AI5/AI$4)</f>
        <v>0</v>
      </c>
      <c r="AK5" s="8">
        <f>(BDER!G5+BDER!G27+BDER!G49+BDER!G71+BDER!G93+BDER!G115)/1000</f>
        <v>32529.70009</v>
      </c>
      <c r="AL5" s="42">
        <f>IF(AK$4=0,"N.D.",AK5/AK$4)</f>
        <v>0.55087035343768</v>
      </c>
      <c r="AM5" s="8">
        <f>(BDER!G467+BDER!G490+BDER!G557+BDER!G602)*TC_MES/1000</f>
        <v>8934.023668536</v>
      </c>
      <c r="AN5" s="42">
        <f>IF(AM$4=0,"N.D.",AM5/AM$4)</f>
        <v>0.32793865462917</v>
      </c>
      <c r="AO5" s="8">
        <f>AO78*TC_MES</f>
        <v>0</v>
      </c>
      <c r="AP5" s="42">
        <f>IF(AO$4=0,"N.D.",AO5/AO$4)</f>
        <v>0</v>
      </c>
      <c r="AQ5" s="8">
        <f>(BDER!G291+BDER!G313+BDER!E335+BDER!G357+BDER!G379+BDER!G401)/1000</f>
        <v>119652.00849</v>
      </c>
      <c r="AR5" s="42">
        <f>IF(AQ$4=0,"N.D.",AQ5/AQ$4)</f>
        <v>0.73645796394775</v>
      </c>
      <c r="AS5" s="8">
        <f>(BDER!G423+BDER!G445)/1000</f>
        <v>1064.98981</v>
      </c>
      <c r="AT5" s="42">
        <f>IF(AS$4=0,"N.D.",AS5/AS$4)</f>
        <v>0.81298306064501</v>
      </c>
      <c r="AU5" s="11">
        <f>+AQ5+AK5+AI5+AS5+AM5+AO5</f>
        <v>162180.72205854</v>
      </c>
      <c r="AV5" s="42">
        <f>IF(AU$4=0,"N.D.",AU5/AU$4)</f>
        <v>0.64169347445321</v>
      </c>
      <c r="AW5" s="25"/>
      <c r="AX5" s="1" t="s">
        <v>27</v>
      </c>
      <c r="AY5" s="11">
        <f>O5</f>
        <v>172756.56558884</v>
      </c>
      <c r="AZ5" s="12">
        <f>IF(AY$4=0,"N.D.",AY5/AY$4)</f>
        <v>0.64659986757064</v>
      </c>
      <c r="BA5" s="11">
        <f>AE5</f>
        <v>109604.515896</v>
      </c>
      <c r="BB5" s="12">
        <f>IF(BA$4=0,"N.D.",BA5/BA$4)</f>
        <v>0.60283691486145</v>
      </c>
      <c r="BC5" s="11">
        <f>AU5</f>
        <v>162180.72205854</v>
      </c>
      <c r="BD5" s="12">
        <f>IF(BC$4=0,"N.D.",BC5/BC$4)</f>
        <v>0.64169347445321</v>
      </c>
      <c r="BE5" s="11">
        <f>+AY5-BA5</f>
        <v>63152.04969284</v>
      </c>
      <c r="BF5" s="13">
        <f>IF(BA5=0,"N.D.",AY5/BA5-1)</f>
        <v>0.57618109232619</v>
      </c>
      <c r="BG5" s="11">
        <f>AY5-BC5</f>
        <v>10575.843530304</v>
      </c>
      <c r="BH5" s="13">
        <f>IF(BC5=0, "N.D.",AY5/BC5-1)</f>
        <v>0.06521023828274</v>
      </c>
    </row>
    <row r="6" spans="1:60">
      <c r="B6" s="4" t="s">
        <v>28</v>
      </c>
      <c r="C6" s="20"/>
      <c r="D6" s="35" t="str">
        <f>IF(C$4=0,"N.D.",C6/C$4)</f>
        <v>0</v>
      </c>
      <c r="E6" s="20">
        <f>+E4-E5</f>
        <v>25931.54628</v>
      </c>
      <c r="F6" s="35">
        <f>IF(E$4=0,"N.D.",E6/E$4)</f>
        <v>0.48658677540229</v>
      </c>
      <c r="G6" s="20">
        <f>+G4-G5</f>
        <v>22308.762987504</v>
      </c>
      <c r="H6" s="35">
        <f>IF(G$4=0,"N.D.",G6/G$4)</f>
        <v>0.69984205524348</v>
      </c>
      <c r="I6" s="20">
        <f>+I4-I5</f>
        <v>2085.131576448</v>
      </c>
      <c r="J6" s="35">
        <f>IF(I$4=0,"N.D.",I6/I$4)</f>
        <v>1</v>
      </c>
      <c r="K6" s="20">
        <f>+K4-K5</f>
        <v>40564.142695</v>
      </c>
      <c r="L6" s="35">
        <f>IF(K$4=0,"N.D.",K6/K$4)</f>
        <v>0.23513361700165</v>
      </c>
      <c r="M6" s="191">
        <f>+M4-M5</f>
        <v>3530.77783</v>
      </c>
      <c r="N6" s="35">
        <f>IF(M$4=0,"N.D.",M6/M$4)</f>
        <v>0.47668703202886</v>
      </c>
      <c r="O6" s="192">
        <f>+O4-O5</f>
        <v>94420.361368952</v>
      </c>
      <c r="P6" s="35">
        <f>IF(O$4=0,"N.D.",O6/O$4)</f>
        <v>0.35340013242936</v>
      </c>
      <c r="R6" s="4" t="s">
        <v>28</v>
      </c>
      <c r="S6" s="14"/>
      <c r="T6" s="43" t="str">
        <f>IF(S$4=0,"N.D.",S6/S$4)</f>
        <v>0</v>
      </c>
      <c r="U6" s="14">
        <f>U4-U5</f>
        <v>0</v>
      </c>
      <c r="V6" s="43" t="str">
        <f>IF(U$4=0,"N.D.",U6/U$4)</f>
        <v>N.D.</v>
      </c>
      <c r="W6" s="14">
        <f>W4-W5</f>
        <v>19467.1992168</v>
      </c>
      <c r="X6" s="43">
        <f>IF(W$4=0,"N.D.",W6/W$4)</f>
        <v>0.68725389326134</v>
      </c>
      <c r="Y6" s="14">
        <f>Y4-Y5</f>
        <v>2100.8511</v>
      </c>
      <c r="Z6" s="43">
        <f>IF(Y$4=0,"N.D.",Y6/Y$4)</f>
        <v>1</v>
      </c>
      <c r="AA6" s="14">
        <f>AA4-AA5</f>
        <v>46907.144</v>
      </c>
      <c r="AB6" s="43">
        <f>IF(AA$4=0,"N.D.",Y4/AA$4)</f>
        <v>0.014993767260826</v>
      </c>
      <c r="AC6" s="14">
        <f>AC4-AC5</f>
        <v>3734.829</v>
      </c>
      <c r="AD6" s="43">
        <f>IF(AC$4=0,"N.D.",AC6/AC$4)</f>
        <v>0.33131739424104</v>
      </c>
      <c r="AE6" s="14">
        <f>AE4-AE5</f>
        <v>72210.0233168</v>
      </c>
      <c r="AF6" s="43">
        <f>IF(AE$4=0,"N.D.",AE6/AE$4)</f>
        <v>0.39716308513855</v>
      </c>
      <c r="AG6" s="25"/>
      <c r="AH6" s="4" t="s">
        <v>28</v>
      </c>
      <c r="AI6" s="14"/>
      <c r="AJ6" s="43" t="str">
        <f>IF(AI$4=0,"N.D.",AI6/AI$4)</f>
        <v>0</v>
      </c>
      <c r="AK6" s="14">
        <f>+AK4-AK5</f>
        <v>26521.76254</v>
      </c>
      <c r="AL6" s="43">
        <f>IF(AK$4=0,"N.D.",AK6/AK$4)</f>
        <v>0.44912964656232</v>
      </c>
      <c r="AM6" s="14">
        <f>+AM4-AM5</f>
        <v>18308.948583816</v>
      </c>
      <c r="AN6" s="43">
        <f>IF(AM$4=0,"N.D.",AM6/AM$4)</f>
        <v>0.67206134537083</v>
      </c>
      <c r="AO6" s="14">
        <f>+AO4-AO5</f>
        <v>2664.635804568</v>
      </c>
      <c r="AP6" s="43">
        <f>IF(AO$4=0,"N.D.",AO6/AO$4)</f>
        <v>1</v>
      </c>
      <c r="AQ6" s="14">
        <f>+AQ4-AQ5</f>
        <v>42817.56119</v>
      </c>
      <c r="AR6" s="43">
        <f>IF(AQ$4=0,"N.D.",AQ6/AQ$4)</f>
        <v>0.26354203605225</v>
      </c>
      <c r="AS6" s="14">
        <f>+AS4-AS5</f>
        <v>244.98805</v>
      </c>
      <c r="AT6" s="43">
        <f>IF(AS$4=0,"N.D.",AS6/AS$4)</f>
        <v>0.18701693935499</v>
      </c>
      <c r="AU6" s="14">
        <f>+AQ6+AK6+AI6+AS6+AM6+AO6</f>
        <v>90557.896168384</v>
      </c>
      <c r="AV6" s="43">
        <f>IF(AU$4=0,"N.D.",AU6/AU$4)</f>
        <v>0.35830652554679</v>
      </c>
      <c r="AW6" s="25"/>
      <c r="AX6" s="26" t="s">
        <v>28</v>
      </c>
      <c r="AY6" s="14">
        <f>O6</f>
        <v>94420.361368952</v>
      </c>
      <c r="AZ6" s="15">
        <f>IF(AY$4=0,"N.D.",AY6/AY$4)</f>
        <v>0.35340013242936</v>
      </c>
      <c r="BA6" s="14">
        <f>AE6</f>
        <v>72210.0233168</v>
      </c>
      <c r="BB6" s="15">
        <f>IF(BA$4=0,"N.D.",BA6/BA$4)</f>
        <v>0.39716308513855</v>
      </c>
      <c r="BC6" s="14">
        <f>AU6</f>
        <v>90557.896168384</v>
      </c>
      <c r="BD6" s="15">
        <f>IF(BC$4=0,"N.D.",BC6/BC$4)</f>
        <v>0.35830652554679</v>
      </c>
      <c r="BE6" s="14">
        <f>+AY6-BA6</f>
        <v>22210.338052152</v>
      </c>
      <c r="BF6" s="16">
        <f>IF(BA6=0,"N.D.",AY6/BA6-1)</f>
        <v>0.30757971029466</v>
      </c>
      <c r="BG6" s="14">
        <f>AY6-BC6</f>
        <v>3862.465200568</v>
      </c>
      <c r="BH6" s="16">
        <f>IF(BC6=0, "N.D.",AY6/BC6-1)</f>
        <v>0.042651887510573</v>
      </c>
    </row>
    <row r="7" spans="1:60">
      <c r="B7" s="1"/>
      <c r="C7" s="30"/>
      <c r="D7" s="18"/>
      <c r="E7" s="30"/>
      <c r="F7" s="18"/>
      <c r="G7" s="30"/>
      <c r="H7" s="18"/>
      <c r="I7" s="30"/>
      <c r="J7" s="18"/>
      <c r="K7" s="30"/>
      <c r="L7" s="18"/>
      <c r="M7" s="30"/>
      <c r="N7" s="18"/>
      <c r="O7" s="30"/>
      <c r="P7" s="18"/>
      <c r="R7" s="1"/>
      <c r="S7" s="30"/>
      <c r="T7" s="44"/>
      <c r="U7" s="30"/>
      <c r="V7" s="44"/>
      <c r="W7" s="30"/>
      <c r="X7" s="44"/>
      <c r="Y7" s="30"/>
      <c r="Z7" s="44"/>
      <c r="AA7" s="30"/>
      <c r="AB7" s="44"/>
      <c r="AC7" s="30"/>
      <c r="AD7" s="44"/>
      <c r="AE7" s="30"/>
      <c r="AF7" s="44"/>
      <c r="AG7" s="25"/>
      <c r="AH7" s="1"/>
      <c r="AI7" s="30"/>
      <c r="AJ7" s="44"/>
      <c r="AK7" s="30"/>
      <c r="AL7" s="44"/>
      <c r="AM7" s="30"/>
      <c r="AN7" s="44"/>
      <c r="AO7" s="30"/>
      <c r="AP7" s="44"/>
      <c r="AQ7" s="30"/>
      <c r="AR7" s="44"/>
      <c r="AS7" s="30"/>
      <c r="AT7" s="44"/>
      <c r="AU7" s="30"/>
      <c r="AV7" s="44"/>
      <c r="AW7" s="25"/>
      <c r="AX7" s="1"/>
      <c r="AY7" s="30"/>
      <c r="AZ7" s="187"/>
      <c r="BA7" s="30"/>
      <c r="BB7" s="187"/>
      <c r="BC7" s="30"/>
      <c r="BD7" s="187"/>
      <c r="BE7" s="30"/>
      <c r="BF7" s="188"/>
      <c r="BG7" s="30"/>
      <c r="BH7" s="188"/>
    </row>
    <row r="8" spans="1:60">
      <c r="B8" s="7" t="s">
        <v>29</v>
      </c>
      <c r="C8" s="194"/>
      <c r="D8" s="29" t="str">
        <f>IF(C$4=0,"N.D.",C8/C$4)</f>
        <v>0</v>
      </c>
      <c r="E8" s="8">
        <f>TablasERxDiv!AA9</f>
        <v>12855.634</v>
      </c>
      <c r="F8" s="29">
        <f>IF(E$4=0,"N.D.",E8/E$4)</f>
        <v>0.24122670612344</v>
      </c>
      <c r="G8" s="195">
        <f>TablasERxDiv!BP9*TC_MES</f>
        <v>19435.020953256</v>
      </c>
      <c r="H8" s="29">
        <f>IF(G$4=0,"N.D.",G8/G$4)</f>
        <v>0.60969068590874</v>
      </c>
      <c r="I8" s="195">
        <f>TablasERxDiv!CF9*TC_MES</f>
        <v>437.31276048</v>
      </c>
      <c r="J8" s="29">
        <f>IF(I$4=0,"N.D.",I8/I$4)</f>
        <v>0.20972909595708</v>
      </c>
      <c r="K8" s="195">
        <f>TablasERxDiv!AT9</f>
        <v>21332.510435</v>
      </c>
      <c r="L8" s="29">
        <f>IF(K$4=0,"N.D.",K8/K$4)</f>
        <v>0.12365577096062</v>
      </c>
      <c r="M8" s="195">
        <f>TablasERxDiv!BC9</f>
        <v>48.372</v>
      </c>
      <c r="N8" s="29">
        <f>IF(M$4=0,"N.D.",M8/M$4)</f>
        <v>0.0065306587453281</v>
      </c>
      <c r="O8" s="195">
        <f>+K8+E8+C8+M8+G8+I8</f>
        <v>54108.850148736</v>
      </c>
      <c r="P8" s="29">
        <f>IF(O$4=0,"N.D.",O8/O$4)</f>
        <v>0.2025206695984</v>
      </c>
      <c r="R8" s="7" t="s">
        <v>29</v>
      </c>
      <c r="S8" s="8"/>
      <c r="T8" s="29" t="str">
        <f>IF(S$4=0,"N.D.",S8/S$4)</f>
        <v>0</v>
      </c>
      <c r="U8" s="8">
        <f>(BDER!K7+BDER!K29+BDER!K51+BDER!K73+BDER!K95+BDER!K117)/1000</f>
        <v>0</v>
      </c>
      <c r="V8" s="29" t="str">
        <f>IF(U$4=0,"N.D.",U8/U$4)</f>
        <v>N.D.</v>
      </c>
      <c r="W8" s="8">
        <f>(BDER!K470+BDER!K493+BDER!K560+BDER!K605)*TC_MES/1000</f>
        <v>18879.1227072</v>
      </c>
      <c r="X8" s="29">
        <f>IF(W$4=0,"N.D.",W8/W$4)</f>
        <v>0.66649292676292</v>
      </c>
      <c r="Y8" s="8">
        <f>Y81*TC_MES</f>
        <v>671.46336</v>
      </c>
      <c r="Z8" s="29">
        <f>IF(Y$4=0,"N.D.",Y8/Y$4)</f>
        <v>0.31961492178099</v>
      </c>
      <c r="AA8" s="8">
        <f>(BDER!K293+BDER!K315+BDER!G337+BDER!K359+BDER!K381+BDER!K403)/1000</f>
        <v>19782.438</v>
      </c>
      <c r="AB8" s="29">
        <f>IF(AA$4=0,"N.D.",AA8/AA$4)</f>
        <v>0.14118719371579</v>
      </c>
      <c r="AC8" s="8">
        <f>(BDER!K425+BDER!K447)/1000</f>
        <v>286.677</v>
      </c>
      <c r="AD8" s="29">
        <f>IF(AC$4=0,"N.D.",AC8/AC$4)</f>
        <v>0.025431171448235</v>
      </c>
      <c r="AE8" s="8">
        <f>+AA8+U8+S8+AC8+W8+Y8</f>
        <v>39619.7010672</v>
      </c>
      <c r="AF8" s="29">
        <f>IF(AE$4=0,"N.D.",AE8/AE$4)</f>
        <v>0.21791272160489</v>
      </c>
      <c r="AG8" s="25"/>
      <c r="AH8" s="7" t="s">
        <v>29</v>
      </c>
      <c r="AI8" s="8"/>
      <c r="AJ8" s="29" t="str">
        <f>IF(AI$4=0,"N.D.",AI8/AI$4)</f>
        <v>0</v>
      </c>
      <c r="AK8" s="8">
        <f>(BDER!G7+BDER!G29+BDER!G51+BDER!G73+BDER!G95+BDER!G117)/1000</f>
        <v>14453.62267</v>
      </c>
      <c r="AL8" s="29">
        <f>IF(AK$4=0,"N.D.",AK8/AK$4)</f>
        <v>0.24476316125415</v>
      </c>
      <c r="AM8" s="8">
        <f>(BDER!G470+BDER!G493+BDER!G560+BDER!G605)*TC_MES/1000</f>
        <v>18563.403062304</v>
      </c>
      <c r="AN8" s="29">
        <f>IF(AM$4=0,"N.D.",AM8/AM$4)</f>
        <v>0.68140153322299</v>
      </c>
      <c r="AO8" s="8">
        <f>AO81*TC_MES</f>
        <v>1639.63565964</v>
      </c>
      <c r="AP8" s="29">
        <f>IF(AO$4=0,"N.D.",AO8/AO$4)</f>
        <v>0.61533199277333</v>
      </c>
      <c r="AQ8" s="8">
        <f>(BDER!G293+BDER!G315+BDER!E337+BDER!G359+BDER!G381+BDER!G403)/1000</f>
        <v>23174.01407</v>
      </c>
      <c r="AR8" s="29">
        <f>IF(AQ$4=0,"N.D.",AQ8/AQ$4)</f>
        <v>0.14263602787675</v>
      </c>
      <c r="AS8" s="8">
        <f>(BDER!G425+BDER!G447)/1000</f>
        <v>78.97938</v>
      </c>
      <c r="AT8" s="29">
        <f>IF(AS$4=0,"N.D.",AS8/AS$4)</f>
        <v>0.06029062201097</v>
      </c>
      <c r="AU8" s="8">
        <f>+AQ8+AK8+AI8+AS8+AM8+AO8</f>
        <v>57909.654841944</v>
      </c>
      <c r="AV8" s="29">
        <f>IF(AU$4=0,"N.D.",AU8/AU$4)</f>
        <v>0.22912863593307</v>
      </c>
      <c r="AW8" s="25"/>
      <c r="AX8" s="1" t="s">
        <v>29</v>
      </c>
      <c r="AY8" s="8">
        <f>O8</f>
        <v>54108.850148736</v>
      </c>
      <c r="AZ8" s="9">
        <f>IF(AY$4=0,"N.D.",AY8/AY$4)</f>
        <v>0.2025206695984</v>
      </c>
      <c r="BA8" s="8">
        <f>AE8</f>
        <v>39619.7010672</v>
      </c>
      <c r="BB8" s="9">
        <f>IF(BA$4=0,"N.D.",BA8/BA$4)</f>
        <v>0.21791272160489</v>
      </c>
      <c r="BC8" s="8">
        <f>AU8</f>
        <v>57909.654841944</v>
      </c>
      <c r="BD8" s="9">
        <f>IF(BC$4=0,"N.D.",BC8/BC$4)</f>
        <v>0.22912863593307</v>
      </c>
      <c r="BE8" s="8">
        <f>+AY8-BA8</f>
        <v>14489.149081536</v>
      </c>
      <c r="BF8" s="10">
        <f>IF(BA8=0,"N.D.",AY8/BA8-1)</f>
        <v>0.36570566388072</v>
      </c>
      <c r="BG8" s="8">
        <f>AY8-BC8</f>
        <v>-3800.804693208</v>
      </c>
      <c r="BH8" s="10">
        <f>IF(BC8=0, "N.D.",AY8/BC8-1)</f>
        <v>-0.065633350839022</v>
      </c>
    </row>
    <row r="9" spans="1:60">
      <c r="B9" s="7" t="s">
        <v>30</v>
      </c>
      <c r="C9" s="198"/>
      <c r="D9" s="42" t="str">
        <f>IF(C$4=0,"N.D.",C9/C$4)</f>
        <v>0</v>
      </c>
      <c r="E9" s="11">
        <f>TablasERxDiv!AA10-E15-E14</f>
        <v>5805.38222</v>
      </c>
      <c r="F9" s="42">
        <f>IF(E$4=0,"N.D.",E9/E$4)</f>
        <v>0.10893381304401</v>
      </c>
      <c r="G9" s="30">
        <f>TablasERxDiv!BP10*TC_MES-G15-G14</f>
        <v>695.301725016</v>
      </c>
      <c r="H9" s="42">
        <f>IF(G$4=0,"N.D.",G9/G$4)</f>
        <v>0.021812118785882</v>
      </c>
      <c r="I9" s="30">
        <f>TablasERxDiv!CF10*TC_MES-I15-I14</f>
        <v>0.473058072</v>
      </c>
      <c r="J9" s="42">
        <f>IF(I$4=0,"N.D.",I9/I$4)</f>
        <v>0.00022687204843248</v>
      </c>
      <c r="K9" s="30">
        <f>TablasERxDiv!AT10-K15-K14</f>
        <v>7847.31909</v>
      </c>
      <c r="L9" s="42">
        <f>IF(K$4=0,"N.D.",K9/K$4)</f>
        <v>0.045487674552166</v>
      </c>
      <c r="M9" s="30">
        <f>TablasERxDiv!BC10-M15-M14</f>
        <v>581.4801</v>
      </c>
      <c r="N9" s="42">
        <f>IF(M$4=0,"N.D.",M9/M$4)</f>
        <v>0.078505087660201</v>
      </c>
      <c r="O9" s="30">
        <f>+K9+E9+C9+M9+G9+I9</f>
        <v>14929.956193088</v>
      </c>
      <c r="P9" s="42">
        <f>IF(O$4=0,"N.D.",O9/O$4)</f>
        <v>0.055880409895749</v>
      </c>
      <c r="R9" s="7" t="s">
        <v>30</v>
      </c>
      <c r="S9" s="8"/>
      <c r="T9" s="42" t="str">
        <f>IF(S$4=0,"N.D.",S9/S$4)</f>
        <v>0</v>
      </c>
      <c r="U9" s="8">
        <f>(BDER!K8+BDER!K30+BDER!K52+BDER!K74+BDER!K96+BDER!K118)/1000</f>
        <v>0</v>
      </c>
      <c r="V9" s="42" t="str">
        <f>IF(U$4=0,"N.D.",U9/U$4)</f>
        <v>N.D.</v>
      </c>
      <c r="W9" s="8">
        <f>(BDER!K471+BDER!K494+BDER!K561+BDER!K606)*TC_MES/1000</f>
        <v>1249.2049968</v>
      </c>
      <c r="X9" s="42">
        <f>IF(W$4=0,"N.D.",W9/W$4)</f>
        <v>0.044100899568102</v>
      </c>
      <c r="Y9" s="8">
        <f>Y82*TC_MES</f>
        <v>0</v>
      </c>
      <c r="Z9" s="42">
        <f>IF(Y$4=0,"N.D.",Y9/Y$4)</f>
        <v>0</v>
      </c>
      <c r="AA9" s="8">
        <f>(BDER!K294+BDER!K316+BDER!G338+BDER!K360+BDER!K382+BDER!K404)/1000</f>
        <v>6913.063</v>
      </c>
      <c r="AB9" s="42">
        <f>IF(AA$4=0,"N.D.",AA9/AA$4)</f>
        <v>0.049338507465584</v>
      </c>
      <c r="AC9" s="8">
        <f>(BDER!K426+BDER!K448)/1000</f>
        <v>563.61</v>
      </c>
      <c r="AD9" s="42">
        <f>IF(AC$4=0,"N.D.",AC9/AC$4)</f>
        <v>0.049997950794586</v>
      </c>
      <c r="AE9" s="11">
        <f>+AA9+U9+S9+AC9+W9+Y9</f>
        <v>8725.8779968</v>
      </c>
      <c r="AF9" s="42">
        <f>IF(AE$4=0,"N.D.",AE9/AE$4)</f>
        <v>0.0479932904958</v>
      </c>
      <c r="AG9" s="25"/>
      <c r="AH9" s="7" t="s">
        <v>30</v>
      </c>
      <c r="AI9" s="8"/>
      <c r="AJ9" s="42" t="str">
        <f>IF(AI$4=0,"N.D.",AI9/AI$4)</f>
        <v>0</v>
      </c>
      <c r="AK9" s="8">
        <f>(BDER!G8+BDER!G30+BDER!G52+BDER!G74+BDER!G96+BDER!G118)/1000</f>
        <v>8625.80038</v>
      </c>
      <c r="AL9" s="42">
        <f>IF(AK$4=0,"N.D.",AK9/AK$4)</f>
        <v>0.14607259491686</v>
      </c>
      <c r="AM9" s="8">
        <f>(BDER!G471+BDER!G494+BDER!G561+BDER!G606)*TC_MES/1000</f>
        <v>1153.21202856</v>
      </c>
      <c r="AN9" s="42">
        <f>IF(AM$4=0,"N.D.",AM9/AM$4)</f>
        <v>0.04233062449566</v>
      </c>
      <c r="AO9" s="8">
        <f>AO82*TC_MES</f>
        <v>1.205195832</v>
      </c>
      <c r="AP9" s="42">
        <f>IF(AO$4=0,"N.D.",AO9/AO$4)</f>
        <v>0.00045229289118383</v>
      </c>
      <c r="AQ9" s="8">
        <f>(BDER!G294+BDER!G316+BDER!E338+BDER!G360+BDER!G382+BDER!G404)/1000</f>
        <v>7275.28004</v>
      </c>
      <c r="AR9" s="42">
        <f>IF(AQ$4=0,"N.D.",AQ9/AQ$4)</f>
        <v>0.044779339628519</v>
      </c>
      <c r="AS9" s="8">
        <f>(BDER!G426+BDER!G448)/1000</f>
        <v>542.21614</v>
      </c>
      <c r="AT9" s="42">
        <f>IF(AS$4=0,"N.D.",AS9/AS$4)</f>
        <v>0.41391244581798</v>
      </c>
      <c r="AU9" s="11">
        <f>+AQ9+AK9+AI9+AS9+AM9+AO9</f>
        <v>17597.713784392</v>
      </c>
      <c r="AV9" s="42">
        <f>IF(AU$4=0,"N.D.",AU9/AU$4)</f>
        <v>0.069628115829105</v>
      </c>
      <c r="AW9" s="25"/>
      <c r="AX9" s="1" t="s">
        <v>30</v>
      </c>
      <c r="AY9" s="11">
        <f>O9+O14+O15</f>
        <v>14929.956193088</v>
      </c>
      <c r="AZ9" s="12">
        <f>IF(AY$4=0,"N.D.",AY9/AY$4)</f>
        <v>0.055880409895749</v>
      </c>
      <c r="BA9" s="11">
        <f>AE9</f>
        <v>8725.8779968</v>
      </c>
      <c r="BB9" s="12">
        <f>IF(BA$4=0,"N.D.",BA9/BA$4)</f>
        <v>0.0479932904958</v>
      </c>
      <c r="BC9" s="11">
        <f>AU9</f>
        <v>17597.713784392</v>
      </c>
      <c r="BD9" s="12">
        <f>IF(BC$4=0,"N.D.",BC9/BC$4)</f>
        <v>0.069628115829105</v>
      </c>
      <c r="BE9" s="11">
        <f>+AY9-BA9</f>
        <v>6204.078196288</v>
      </c>
      <c r="BF9" s="13">
        <f>IF(BA9=0,"N.D.",AY9/BA9-1)</f>
        <v>0.71099758655383</v>
      </c>
      <c r="BG9" s="11">
        <f>AY9-BC9</f>
        <v>-2667.757591304</v>
      </c>
      <c r="BH9" s="13">
        <f>IF(BC9=0, "N.D.",AY9/BC9-1)</f>
        <v>-0.15159682808741</v>
      </c>
    </row>
    <row r="10" spans="1:60">
      <c r="B10" s="7" t="s">
        <v>31</v>
      </c>
      <c r="C10" s="196"/>
      <c r="D10" s="193" t="str">
        <f>IF(C$4=0,"N.D.",C10/C$4)</f>
        <v>0</v>
      </c>
      <c r="E10" s="34">
        <f>TablasERxDiv!AA11</f>
        <v>910.51363</v>
      </c>
      <c r="F10" s="193">
        <f>IF(E$4=0,"N.D.",E10/E$4)</f>
        <v>0.017085132000911</v>
      </c>
      <c r="G10" s="197">
        <f>TablasERxDiv!BP11*TC_MES</f>
        <v>376.417707912</v>
      </c>
      <c r="H10" s="193">
        <f>IF(G$4=0,"N.D.",G10/G$4)</f>
        <v>0.011808496171784</v>
      </c>
      <c r="I10" s="197">
        <f>TablasERxDiv!CF11*TC_MES</f>
        <v>609.258549384</v>
      </c>
      <c r="J10" s="193">
        <f>IF(I$4=0,"N.D.",I10/I$4)</f>
        <v>0.29219189631278</v>
      </c>
      <c r="K10" s="197">
        <f>TablasERxDiv!AT11</f>
        <v>1941.80396</v>
      </c>
      <c r="L10" s="193">
        <f>IF(K$4=0,"N.D.",K10/K$4)</f>
        <v>0.011255837256464</v>
      </c>
      <c r="M10" s="197">
        <f>TablasERxDiv!BC11</f>
        <v>31.92541</v>
      </c>
      <c r="N10" s="193">
        <f>IF(M$4=0,"N.D.",M10/M$4)</f>
        <v>0.0043102199209188</v>
      </c>
      <c r="O10" s="197">
        <f>+K10+E10+C10+M10+G10+I10</f>
        <v>3869.919257296</v>
      </c>
      <c r="P10" s="193">
        <f>IF(O$4=0,"N.D.",O10/O$4)</f>
        <v>0.014484481505798</v>
      </c>
      <c r="R10" s="7" t="s">
        <v>31</v>
      </c>
      <c r="S10" s="8"/>
      <c r="T10" s="42" t="str">
        <f>IF(S$4=0,"N.D.",S10/S$4)</f>
        <v>0</v>
      </c>
      <c r="U10" s="8">
        <f>(BDER!K9+BDER!K31+BDER!K53+BDER!K75+BDER!K97+BDER!K119)/1000</f>
        <v>0</v>
      </c>
      <c r="V10" s="42" t="str">
        <f>IF(U$4=0,"N.D.",U10/U$4)</f>
        <v>N.D.</v>
      </c>
      <c r="W10" s="8">
        <f>(BDER!K472+BDER!K495+BDER!K562+BDER!K607)*TC_MES/1000</f>
        <v>268.8684912</v>
      </c>
      <c r="X10" s="42">
        <f>IF(W$4=0,"N.D.",W10/W$4)</f>
        <v>0.0094919107414814</v>
      </c>
      <c r="Y10" s="8">
        <f>Y83*TC_MES</f>
        <v>277.0393104</v>
      </c>
      <c r="Z10" s="42">
        <f>IF(Y$4=0,"N.D.",Y10/Y$4)</f>
        <v>0.13187003610108</v>
      </c>
      <c r="AA10" s="8">
        <f>(BDER!K295+BDER!K317+BDER!G339+BDER!K361+BDER!K383+BDER!K405)/1000</f>
        <v>2302.25</v>
      </c>
      <c r="AB10" s="42">
        <f>IF(AA$4=0,"N.D.",AA10/AA$4)</f>
        <v>0.016431150535246</v>
      </c>
      <c r="AC10" s="8">
        <f>(BDER!K427+BDER!K449)/1000</f>
        <v>33.756</v>
      </c>
      <c r="AD10" s="42">
        <f>IF(AC$4=0,"N.D.",AC10/AC$4)</f>
        <v>0.0029945012100957</v>
      </c>
      <c r="AE10" s="11">
        <f>+AA10+U10+S10+AC10+W10+Y10</f>
        <v>2881.9138016</v>
      </c>
      <c r="AF10" s="42">
        <f>IF(AE$4=0,"N.D.",AE10/AE$4)</f>
        <v>0.015850843469823</v>
      </c>
      <c r="AG10" s="25"/>
      <c r="AH10" s="7" t="s">
        <v>31</v>
      </c>
      <c r="AI10" s="8"/>
      <c r="AJ10" s="42" t="str">
        <f>IF(AI$4=0,"N.D.",AI10/AI$4)</f>
        <v>0</v>
      </c>
      <c r="AK10" s="8">
        <f>(BDER!G9+BDER!G31+BDER!G53+BDER!G75+BDER!G97+BDER!G119)/1000</f>
        <v>873.32461</v>
      </c>
      <c r="AL10" s="42">
        <f>IF(AK$4=0,"N.D.",AK10/AK$4)</f>
        <v>0.01478921217366</v>
      </c>
      <c r="AM10" s="8">
        <f>(BDER!G472+BDER!G495+BDER!G562+BDER!G607)*TC_MES/1000</f>
        <v>314.045031456</v>
      </c>
      <c r="AN10" s="42">
        <f>IF(AM$4=0,"N.D.",AM10/AM$4)</f>
        <v>0.011527561256789</v>
      </c>
      <c r="AO10" s="8">
        <f>AO83*TC_MES</f>
        <v>424.769541768</v>
      </c>
      <c r="AP10" s="42">
        <f>IF(AO$4=0,"N.D.",AO10/AO$4)</f>
        <v>0.15940998054586</v>
      </c>
      <c r="AQ10" s="8">
        <f>(BDER!G295+BDER!G317+BDER!E339+BDER!G361+BDER!G383+BDER!G405)/1000</f>
        <v>2631.6684</v>
      </c>
      <c r="AR10" s="42">
        <f>IF(AQ$4=0,"N.D.",AQ10/AQ$4)</f>
        <v>0.016197915740057</v>
      </c>
      <c r="AS10" s="8">
        <f>(BDER!G427+BDER!G449)/1000</f>
        <v>31.05358</v>
      </c>
      <c r="AT10" s="42">
        <f>IF(AS$4=0,"N.D.",AS10/AS$4)</f>
        <v>0.023705423540517</v>
      </c>
      <c r="AU10" s="11">
        <f>+AQ10+AK10+AI10+AS10+AM10+AO10</f>
        <v>4274.861163224</v>
      </c>
      <c r="AV10" s="42">
        <f>IF(AU$4=0,"N.D.",AU10/AU$4)</f>
        <v>0.016914158956847</v>
      </c>
      <c r="AW10" s="25"/>
      <c r="AX10" s="1" t="s">
        <v>31</v>
      </c>
      <c r="AY10" s="11">
        <f>O10</f>
        <v>3869.919257296</v>
      </c>
      <c r="AZ10" s="12">
        <f>IF(AY$4=0,"N.D.",AY10/AY$4)</f>
        <v>0.014484481505798</v>
      </c>
      <c r="BA10" s="11">
        <f>AE10</f>
        <v>2881.9138016</v>
      </c>
      <c r="BB10" s="12">
        <f>IF(BA$4=0,"N.D.",BA10/BA$4)</f>
        <v>0.015850843469823</v>
      </c>
      <c r="BC10" s="11">
        <f>AU10</f>
        <v>4274.861163224</v>
      </c>
      <c r="BD10" s="12">
        <f>IF(BC$4=0,"N.D.",BC10/BC$4)</f>
        <v>0.016914158956847</v>
      </c>
      <c r="BE10" s="11">
        <f>+AY10-BA10</f>
        <v>988.005455696</v>
      </c>
      <c r="BF10" s="13">
        <f>IF(BA10=0,"N.D.",AY10/BA10-1)</f>
        <v>0.34282963465024</v>
      </c>
      <c r="BG10" s="11">
        <f>AY10-BC10</f>
        <v>-404.941905928</v>
      </c>
      <c r="BH10" s="13">
        <f>IF(BC10=0, "N.D.",AY10/BC10-1)</f>
        <v>-0.094726329222492</v>
      </c>
    </row>
    <row r="11" spans="1:60">
      <c r="B11" s="4" t="s">
        <v>32</v>
      </c>
      <c r="C11" s="20"/>
      <c r="D11" s="35" t="str">
        <f>IF(C$4=0,"N.D.",C11/C$4)</f>
        <v>0</v>
      </c>
      <c r="E11" s="20">
        <f>SUM(E8:E10)</f>
        <v>19571.52985</v>
      </c>
      <c r="F11" s="35">
        <f>IF(E$4=0,"N.D.",E11/E$4)</f>
        <v>0.36724565116836</v>
      </c>
      <c r="G11" s="20">
        <f>SUM(G8:G10)</f>
        <v>20506.740386184</v>
      </c>
      <c r="H11" s="35">
        <f>IF(G$4=0,"N.D.",G11/G$4)</f>
        <v>0.6433113008664</v>
      </c>
      <c r="I11" s="20">
        <f>SUM(I8:I10)</f>
        <v>1047.044367936</v>
      </c>
      <c r="J11" s="35">
        <f>IF(I$4=0,"N.D.",I11/I$4)</f>
        <v>0.50214786431829</v>
      </c>
      <c r="K11" s="20">
        <f>SUM(K8:K10)</f>
        <v>31121.633485</v>
      </c>
      <c r="L11" s="35">
        <f>IF(K$4=0,"N.D.",K11/K$4)</f>
        <v>0.18039928276925</v>
      </c>
      <c r="M11" s="20">
        <f>SUM(M8:M10)</f>
        <v>661.77751</v>
      </c>
      <c r="N11" s="35">
        <f>IF(M$4=0,"N.D.",M11/M$4)</f>
        <v>0.089345966326448</v>
      </c>
      <c r="O11" s="20">
        <f>+O8+O10+O9</f>
        <v>72908.72559912</v>
      </c>
      <c r="P11" s="35">
        <f>IF(O$4=0,"N.D.",O11/O$4)</f>
        <v>0.27288556099995</v>
      </c>
      <c r="R11" s="4" t="s">
        <v>32</v>
      </c>
      <c r="S11" s="14"/>
      <c r="T11" s="43" t="str">
        <f>IF(S$4=0,"N.D.",S11/S$4)</f>
        <v>0</v>
      </c>
      <c r="U11" s="14">
        <f>SUM(U8:U10)</f>
        <v>0</v>
      </c>
      <c r="V11" s="43" t="str">
        <f>IF(U$4=0,"N.D.",U11/U$4)</f>
        <v>N.D.</v>
      </c>
      <c r="W11" s="14">
        <f>SUM(W8:W10)</f>
        <v>20397.1961952</v>
      </c>
      <c r="X11" s="43">
        <f>IF(W$4=0,"N.D.",W11/W$4)</f>
        <v>0.7200857370725</v>
      </c>
      <c r="Y11" s="14">
        <f>SUM(Y8:Y10)</f>
        <v>948.5026704</v>
      </c>
      <c r="Z11" s="43">
        <f>IF(Y$4=0,"N.D.",Y11/Y$4)</f>
        <v>0.45148495788207</v>
      </c>
      <c r="AA11" s="14">
        <f>SUM(AA8:AA10)</f>
        <v>28997.751</v>
      </c>
      <c r="AB11" s="43">
        <f>IF(AA$4=0,"N.D.",AA11/AA$4)</f>
        <v>0.20695685171662</v>
      </c>
      <c r="AC11" s="14">
        <f>SUM(AC8:AC10)</f>
        <v>884.043</v>
      </c>
      <c r="AD11" s="43">
        <f>IF(AC$4=0,"N.D.",AC11/AC$4)</f>
        <v>0.078423623452916</v>
      </c>
      <c r="AE11" s="14">
        <f>SUM(AE8:AE10)</f>
        <v>51227.4928656</v>
      </c>
      <c r="AF11" s="43">
        <f>IF(AE$4=0,"N.D.",AE11/AE$4)</f>
        <v>0.28175685557051</v>
      </c>
      <c r="AG11" s="25"/>
      <c r="AH11" s="4" t="s">
        <v>32</v>
      </c>
      <c r="AI11" s="14"/>
      <c r="AJ11" s="43" t="str">
        <f>IF(AI$4=0,"N.D.",AI11/AI$4)</f>
        <v>0</v>
      </c>
      <c r="AK11" s="14">
        <f>SUM(AK8:AK10)</f>
        <v>23952.74766</v>
      </c>
      <c r="AL11" s="43">
        <f>IF(AK$4=0,"N.D.",AK11/AK$4)</f>
        <v>0.40562496834467</v>
      </c>
      <c r="AM11" s="14">
        <f>SUM(AM8:AM10)</f>
        <v>20030.66012232</v>
      </c>
      <c r="AN11" s="43">
        <f>IF(AM$4=0,"N.D.",AM11/AM$4)</f>
        <v>0.73525971897544</v>
      </c>
      <c r="AO11" s="14">
        <f>SUM(AO8:AO10)</f>
        <v>2065.61039724</v>
      </c>
      <c r="AP11" s="43">
        <f>IF(AO$4=0,"N.D.",AO11/AO$4)</f>
        <v>0.77519426621038</v>
      </c>
      <c r="AQ11" s="14">
        <f>SUM(AQ8:AQ10)</f>
        <v>33080.96251</v>
      </c>
      <c r="AR11" s="43">
        <f>IF(AQ$4=0,"N.D.",AQ11/AQ$4)</f>
        <v>0.20361328324533</v>
      </c>
      <c r="AS11" s="14">
        <f>SUM(AS8:AS10)</f>
        <v>652.2491</v>
      </c>
      <c r="AT11" s="43">
        <f>IF(AS$4=0,"N.D.",AS11/AS$4)</f>
        <v>0.49790849136946</v>
      </c>
      <c r="AU11" s="14">
        <f>SUM(AU8:AU10)</f>
        <v>79782.22978956</v>
      </c>
      <c r="AV11" s="43">
        <f>IF(AU$4=0,"N.D.",AU11/AU$4)</f>
        <v>0.31567091071903</v>
      </c>
      <c r="AW11" s="25"/>
      <c r="AX11" s="26" t="s">
        <v>32</v>
      </c>
      <c r="AY11" s="14">
        <f>+AY8+AY9+AY10</f>
        <v>72908.72559912</v>
      </c>
      <c r="AZ11" s="15">
        <f>IF(AY$4=0,"N.D.",AY11/AY$4)</f>
        <v>0.27288556099995</v>
      </c>
      <c r="BA11" s="14">
        <f>AE11</f>
        <v>51227.4928656</v>
      </c>
      <c r="BB11" s="15">
        <f>IF(BA$4=0,"N.D.",BA11/BA$4)</f>
        <v>0.28175685557051</v>
      </c>
      <c r="BC11" s="14">
        <f>AU11</f>
        <v>79782.22978956</v>
      </c>
      <c r="BD11" s="15">
        <f>IF(BC$4=0,"N.D.",BC11/BC$4)</f>
        <v>0.31567091071903</v>
      </c>
      <c r="BE11" s="14">
        <f>+AY11-BA11</f>
        <v>21681.23273352</v>
      </c>
      <c r="BF11" s="16">
        <f>IF(BA11=0,"N.D.",AY11/BA11-1)</f>
        <v>0.42323431268445</v>
      </c>
      <c r="BG11" s="14">
        <f>AY11-BC11</f>
        <v>-6873.50419044</v>
      </c>
      <c r="BH11" s="16">
        <f>IF(BC11=0, "N.D.",AY11/BC11-1)</f>
        <v>-0.086153322720737</v>
      </c>
    </row>
    <row r="12" spans="1:60">
      <c r="B12" s="4"/>
      <c r="C12" s="31"/>
      <c r="D12" s="32"/>
      <c r="E12" s="31"/>
      <c r="F12" s="32"/>
      <c r="G12" s="31"/>
      <c r="H12" s="32"/>
      <c r="I12" s="31"/>
      <c r="J12" s="32"/>
      <c r="K12" s="31"/>
      <c r="L12" s="32"/>
      <c r="M12" s="31"/>
      <c r="N12" s="32"/>
      <c r="O12" s="31"/>
      <c r="P12" s="32"/>
      <c r="R12" s="4" t="s">
        <v>33</v>
      </c>
      <c r="S12" s="20"/>
      <c r="T12" s="45" t="str">
        <f>IF(S$4=0,"N.D.",S12/S$4)</f>
        <v>0</v>
      </c>
      <c r="U12" s="20">
        <f>U6-U11</f>
        <v>0</v>
      </c>
      <c r="V12" s="45" t="str">
        <f>IF(U$4=0,"N.D.",U12/U$4)</f>
        <v>N.D.</v>
      </c>
      <c r="W12" s="20">
        <f>W6-W11</f>
        <v>-929.99697839999</v>
      </c>
      <c r="X12" s="45">
        <f>IF(W$4=0,"N.D.",W12/W$4)</f>
        <v>-0.032831843811158</v>
      </c>
      <c r="Y12" s="20">
        <f>Y6-Y11</f>
        <v>1152.3484296</v>
      </c>
      <c r="Z12" s="45">
        <f>IF(Y$4=0,"N.D.",Y12/Y$4)</f>
        <v>0.54851504211793</v>
      </c>
      <c r="AA12" s="20">
        <f>AA6-AA11</f>
        <v>17909.393</v>
      </c>
      <c r="AB12" s="45">
        <f>IF(AA$4=0,"N.D.",AA12/AA$4)</f>
        <v>0.12781927782729</v>
      </c>
      <c r="AC12" s="20">
        <f>AC6-AC11</f>
        <v>2850.786</v>
      </c>
      <c r="AD12" s="45">
        <f>IF(AC$4=0,"N.D.",AC12/AC$4)</f>
        <v>0.25289377078812</v>
      </c>
      <c r="AE12" s="20">
        <f>AE6-AE11</f>
        <v>20982.5304512</v>
      </c>
      <c r="AF12" s="45">
        <f>IF(AE$4=0,"N.D.",AE12/AE$4)</f>
        <v>0.11540622956804</v>
      </c>
      <c r="AG12" s="25"/>
      <c r="AH12" s="4" t="s">
        <v>33</v>
      </c>
      <c r="AI12" s="20"/>
      <c r="AJ12" s="45" t="str">
        <f>IF(AI$4=0,"N.D.",AI12/AI$4)</f>
        <v>0</v>
      </c>
      <c r="AK12" s="20">
        <f>+AK6-AK11</f>
        <v>2569.01488</v>
      </c>
      <c r="AL12" s="45">
        <f>IF(AK$4=0,"N.D.",AK12/AK$4)</f>
        <v>0.043504678217655</v>
      </c>
      <c r="AM12" s="20">
        <f>+AM6-AM11</f>
        <v>-1721.711538504</v>
      </c>
      <c r="AN12" s="45">
        <f>IF(AM$4=0,"N.D.",AM12/AM$4)</f>
        <v>-0.063198373604604</v>
      </c>
      <c r="AO12" s="20">
        <f>+AO6-AO11</f>
        <v>599.025407328</v>
      </c>
      <c r="AP12" s="45">
        <f>IF(AO$4=0,"N.D.",AO12/AO$4)</f>
        <v>0.22480573378962</v>
      </c>
      <c r="AQ12" s="20">
        <f>+AQ6-AQ11</f>
        <v>9736.59868</v>
      </c>
      <c r="AR12" s="45">
        <f>IF(AQ$4=0,"N.D.",AQ12/AQ$4)</f>
        <v>0.059928752806924</v>
      </c>
      <c r="AS12" s="20">
        <f>+AS6-AS11</f>
        <v>-407.26105</v>
      </c>
      <c r="AT12" s="45">
        <f>IF(AS$4=0,"N.D.",AS12/AS$4)</f>
        <v>-0.31089155201447</v>
      </c>
      <c r="AU12" s="20">
        <f>+AU6-AU11</f>
        <v>10775.666378824</v>
      </c>
      <c r="AV12" s="45">
        <f>IF(AU$4=0,"N.D.",AU12/AU$4)</f>
        <v>0.042635614827763</v>
      </c>
      <c r="AW12" s="25"/>
      <c r="AX12" s="26" t="s">
        <v>33</v>
      </c>
      <c r="AY12" s="20">
        <f>O16</f>
        <v>21511.635769832</v>
      </c>
      <c r="AZ12" s="15">
        <f>IF(AY$4=0,"N.D.",AY12/AY$4)</f>
        <v>0.080514571429405</v>
      </c>
      <c r="BA12" s="20">
        <f>AE12</f>
        <v>20982.5304512</v>
      </c>
      <c r="BB12" s="15">
        <f>IF(BA$4=0,"N.D.",BA12/BA$4)</f>
        <v>0.11540622956804</v>
      </c>
      <c r="BC12" s="20">
        <f>AU12</f>
        <v>10775.666378824</v>
      </c>
      <c r="BD12" s="15">
        <f>IF(BC$4=0,"N.D.",BC12/BC$4)</f>
        <v>0.042635614827763</v>
      </c>
      <c r="BE12" s="14">
        <f>+AY12-BA12</f>
        <v>529.10531863202</v>
      </c>
      <c r="BF12" s="16">
        <f>IF(BA12=0,"N.D.",AY12/BA12-1)</f>
        <v>0.025216468521877</v>
      </c>
      <c r="BG12" s="14">
        <f>AY12-BC12</f>
        <v>10735.969391008</v>
      </c>
      <c r="BH12" s="16">
        <f>IF(BC12=0, "N.D.",AY12/BC12-1)</f>
        <v>0.99631605263003</v>
      </c>
    </row>
    <row r="13" spans="1:60">
      <c r="B13" s="4" t="s">
        <v>34</v>
      </c>
      <c r="C13" s="20"/>
      <c r="D13" s="22" t="str">
        <f>IF(C$4=0,"N.D.",C13/C$4)</f>
        <v>0</v>
      </c>
      <c r="E13" s="20">
        <f>+E6-E11</f>
        <v>6360.01643</v>
      </c>
      <c r="F13" s="22">
        <f>IF(E$4=0,"N.D.",E13/E$4)</f>
        <v>0.11934112423393</v>
      </c>
      <c r="G13" s="20">
        <f>+G6-G11</f>
        <v>1802.02260132</v>
      </c>
      <c r="H13" s="22">
        <f>IF(G$4=0,"N.D.",G13/G$4)</f>
        <v>0.056530754377076</v>
      </c>
      <c r="I13" s="20">
        <f>+I6-I11</f>
        <v>1038.087208512</v>
      </c>
      <c r="J13" s="22">
        <f>IF(I$4=0,"N.D.",I13/I$4)</f>
        <v>0.49785213568171</v>
      </c>
      <c r="K13" s="20">
        <f>+K6-K11</f>
        <v>9442.50921</v>
      </c>
      <c r="L13" s="22">
        <f>IF(K$4=0,"N.D.",K13/K$4)</f>
        <v>0.054734334232394</v>
      </c>
      <c r="M13" s="20">
        <f>+M6-M11</f>
        <v>2869.00032</v>
      </c>
      <c r="N13" s="22">
        <f>IF(M$4=0,"N.D.",M13/M$4)</f>
        <v>0.38734106570241</v>
      </c>
      <c r="O13" s="20">
        <f>+O6-O11</f>
        <v>21511.635769832</v>
      </c>
      <c r="P13" s="22">
        <f>IF(O$4=0,"N.D.",O13/O$4)</f>
        <v>0.080514571429405</v>
      </c>
      <c r="R13" s="1"/>
      <c r="S13" s="30"/>
      <c r="T13" s="44"/>
      <c r="U13" s="30"/>
      <c r="V13" s="44"/>
      <c r="W13" s="30"/>
      <c r="X13" s="44"/>
      <c r="Y13" s="30"/>
      <c r="Z13" s="44"/>
      <c r="AA13" s="30"/>
      <c r="AB13" s="44"/>
      <c r="AC13" s="30"/>
      <c r="AD13" s="44"/>
      <c r="AE13" s="30"/>
      <c r="AF13" s="44"/>
      <c r="AG13" s="25"/>
      <c r="AH13" s="1"/>
      <c r="AI13" s="30"/>
      <c r="AJ13" s="44"/>
      <c r="AK13" s="30"/>
      <c r="AL13" s="44"/>
      <c r="AM13" s="30"/>
      <c r="AN13" s="44"/>
      <c r="AO13" s="30"/>
      <c r="AP13" s="44"/>
      <c r="AQ13" s="30"/>
      <c r="AR13" s="44"/>
      <c r="AS13" s="30"/>
      <c r="AT13" s="44"/>
      <c r="AU13" s="30"/>
      <c r="AV13" s="44"/>
      <c r="AW13" s="25"/>
      <c r="AX13" s="1"/>
      <c r="AY13" s="30"/>
      <c r="AZ13" s="187"/>
      <c r="BA13" s="30"/>
      <c r="BB13" s="187"/>
      <c r="BC13" s="30"/>
      <c r="BD13" s="187"/>
      <c r="BE13" s="30"/>
      <c r="BF13" s="188"/>
      <c r="BG13" s="30"/>
      <c r="BH13" s="188"/>
    </row>
    <row r="14" spans="1:60">
      <c r="B14" s="7" t="s">
        <v>35</v>
      </c>
      <c r="C14" s="8"/>
      <c r="D14" s="33" t="str">
        <f>IF(C$4=0,"N.D.",C14/C$4)</f>
        <v>0</v>
      </c>
      <c r="E14" s="8">
        <f>division!B4</f>
        <v>0</v>
      </c>
      <c r="F14" s="33">
        <f>IF(E$4=0,"N.D.",E14/E$4)</f>
        <v>0</v>
      </c>
      <c r="G14" s="8">
        <f>division!G4</f>
        <v>0</v>
      </c>
      <c r="H14" s="33">
        <f>IF(G$4=0,"N.D.",G14/G$4)</f>
        <v>0</v>
      </c>
      <c r="I14" s="8">
        <f>division!H4</f>
        <v>0</v>
      </c>
      <c r="J14" s="33">
        <f>IF(I$4=0,"N.D.",I14/I$4)</f>
        <v>0</v>
      </c>
      <c r="K14" s="8">
        <f>division!E4</f>
        <v>0</v>
      </c>
      <c r="L14" s="33">
        <f>IF(K$4=0,"N.D.",K14/K$4)</f>
        <v>0</v>
      </c>
      <c r="M14" s="8">
        <f>division!F4</f>
        <v>0</v>
      </c>
      <c r="N14" s="33">
        <f>IF(M$4=0,"N.D.",M14/M$4)</f>
        <v>0</v>
      </c>
      <c r="O14" s="8">
        <f>+K14+E14+C14+M14+G14+I14</f>
        <v>0</v>
      </c>
      <c r="P14" s="33">
        <f>IF(O$4=0,"N.D.",O14/O$4)</f>
        <v>0</v>
      </c>
      <c r="R14" s="7" t="s">
        <v>36</v>
      </c>
      <c r="S14" s="8"/>
      <c r="T14" s="29" t="str">
        <f>IF(S$4=0,"N.D.",S14/S$4)</f>
        <v>0</v>
      </c>
      <c r="U14" s="8">
        <f>(BDER!K12+BDER!K34+BDER!K56+BDER!K78+BDER!K100+BDER!K122)/1000</f>
        <v>0</v>
      </c>
      <c r="V14" s="29" t="str">
        <f>IF(U$4=0,"N.D.",U14/U$4)</f>
        <v>N.D.</v>
      </c>
      <c r="W14" s="8">
        <f>(BDER!K475+BDER!K498+BDER!K565+BDER!K610)*TC_MES/1000</f>
        <v>0</v>
      </c>
      <c r="X14" s="29">
        <f>IF(W$4=0,"N.D.",W14/W$4)</f>
        <v>0</v>
      </c>
      <c r="Y14" s="8">
        <f>Y87*TC_MES</f>
        <v>0</v>
      </c>
      <c r="Z14" s="29">
        <f>IF(Y$4=0,"N.D.",Y14/Y$4)</f>
        <v>0</v>
      </c>
      <c r="AA14" s="8">
        <f>(BDER!K298+BDER!K320+BDER!G342+BDER!K364+BDER!K386+BDER!K408)/1000</f>
        <v>-2718.912</v>
      </c>
      <c r="AB14" s="29">
        <f>IF(AA$4=0,"N.D.",AA14/AA$4)</f>
        <v>-0.019404865833027</v>
      </c>
      <c r="AC14" s="8">
        <f>(BDER!K430+BDER!K452)/1000</f>
        <v>-87</v>
      </c>
      <c r="AD14" s="29">
        <f>IF(AC$4=0,"N.D.",AC14/AC$4)</f>
        <v>-0.007717786623958</v>
      </c>
      <c r="AE14" s="8">
        <f>+AA14+U14+S14+AC14+W14+Y14</f>
        <v>-2805.912</v>
      </c>
      <c r="AF14" s="29">
        <f>IF(AE$4=0,"N.D.",AE14/AE$4)</f>
        <v>-0.015432825186306</v>
      </c>
      <c r="AG14" s="25"/>
      <c r="AH14" s="7" t="s">
        <v>36</v>
      </c>
      <c r="AI14" s="8"/>
      <c r="AJ14" s="29" t="str">
        <f>IF(AI$4=0,"N.D.",AI14/AI$4)</f>
        <v>0</v>
      </c>
      <c r="AK14" s="8">
        <f>(BDER!G12+BDER!G34+BDER!G56+BDER!G78+BDER!G100+BDER!G122)/1000</f>
        <v>-97.55156</v>
      </c>
      <c r="AL14" s="29">
        <f>IF(AK$4=0,"N.D.",AK14/AK$4)</f>
        <v>-0.0016519753390569</v>
      </c>
      <c r="AM14" s="8">
        <f>(BDER!G475+BDER!G498+BDER!G565+BDER!G610)*TC_MES/1000</f>
        <v>0</v>
      </c>
      <c r="AN14" s="29">
        <f>IF(AM$4=0,"N.D.",AM14/AM$4)</f>
        <v>0</v>
      </c>
      <c r="AO14" s="8">
        <f>AO87*TC_MES</f>
        <v>0</v>
      </c>
      <c r="AP14" s="29">
        <f>IF(AO$4=0,"N.D.",AO14/AO$4)</f>
        <v>0</v>
      </c>
      <c r="AQ14" s="8">
        <f>(BDER!G298+BDER!G320+BDER!E342+BDER!G364+BDER!G386+BDER!G408)/1000</f>
        <v>-272.22036</v>
      </c>
      <c r="AR14" s="29">
        <f>IF(AQ$4=0,"N.D.",AQ14/AQ$4)</f>
        <v>-0.0016755159783839</v>
      </c>
      <c r="AS14" s="8">
        <f>(BDER!G430+BDER!G452)/1000</f>
        <v>33.77829</v>
      </c>
      <c r="AT14" s="29">
        <f>IF(AS$4=0,"N.D.",AS14/AS$4)</f>
        <v>0.025785389991248</v>
      </c>
      <c r="AU14" s="8">
        <f>+AQ14+AK14+AI14+AS14+AM14+AO14</f>
        <v>-335.99363</v>
      </c>
      <c r="AV14" s="42">
        <f>IF(AU$4=0,"N.D.",AU14/AU$4)</f>
        <v>-0.0013294115175479</v>
      </c>
      <c r="AW14" s="25"/>
      <c r="AX14" s="1" t="s">
        <v>36</v>
      </c>
      <c r="AY14" s="8">
        <f>O18</f>
        <v>938.27838</v>
      </c>
      <c r="AZ14" s="9">
        <f>IF(AY$4=0,"N.D.",AY14/AY$4)</f>
        <v>0.0035118241334823</v>
      </c>
      <c r="BA14" s="8">
        <f>AE14</f>
        <v>-2805.912</v>
      </c>
      <c r="BB14" s="9">
        <f>IF(BA$4=0,"N.D.",BA14/BA$4)</f>
        <v>-0.015432825186306</v>
      </c>
      <c r="BC14" s="8">
        <f>AU14</f>
        <v>-335.99363</v>
      </c>
      <c r="BD14" s="9">
        <f>IF(BC$4=0,"N.D.",BC14/BC$4)</f>
        <v>-0.0013294115175479</v>
      </c>
      <c r="BE14" s="8">
        <f>+AY14-BA14</f>
        <v>3744.19038</v>
      </c>
      <c r="BF14" s="10">
        <f>IF(BA14=0,"N.D.",AY14/BA14-1)</f>
        <v>-1.3343933737052</v>
      </c>
      <c r="BG14" s="8">
        <f>AY14-BC14</f>
        <v>1274.27201</v>
      </c>
      <c r="BH14" s="10">
        <f>IF(BC14=0, "N.D.",AY14/BC14-1)</f>
        <v>-3.7925481206295</v>
      </c>
    </row>
    <row r="15" spans="1:60">
      <c r="B15" s="7" t="s">
        <v>37</v>
      </c>
      <c r="C15" s="34"/>
      <c r="D15" s="35" t="str">
        <f>IF(C$4=0,"N.D.",C15/C$4)</f>
        <v>0</v>
      </c>
      <c r="E15" s="34">
        <f>division!B5</f>
        <v>0</v>
      </c>
      <c r="F15" s="35">
        <f>IF(E$4=0,"N.D.",E15/E$4)</f>
        <v>0</v>
      </c>
      <c r="G15" s="34">
        <f>division!G5</f>
        <v>0</v>
      </c>
      <c r="H15" s="35">
        <f>IF(G$4=0,"N.D.",G15/G$4)</f>
        <v>0</v>
      </c>
      <c r="I15" s="34">
        <f>division!H5</f>
        <v>0</v>
      </c>
      <c r="J15" s="35">
        <f>IF(I$4=0,"N.D.",I15/I$4)</f>
        <v>0</v>
      </c>
      <c r="K15" s="34">
        <f>division!E5</f>
        <v>0</v>
      </c>
      <c r="L15" s="35">
        <f>IF(K$4=0,"N.D.",K15/K$4)</f>
        <v>0</v>
      </c>
      <c r="M15" s="34">
        <f>division!F5</f>
        <v>0</v>
      </c>
      <c r="N15" s="35">
        <f>IF(M$4=0,"N.D.",M15/M$4)</f>
        <v>0</v>
      </c>
      <c r="O15" s="34">
        <f>+K15+E15+C15+M15+G15+I15</f>
        <v>0</v>
      </c>
      <c r="P15" s="35">
        <f>IF(O$4=0,"N.D.",O15/O$4)</f>
        <v>0</v>
      </c>
      <c r="R15" s="7" t="s">
        <v>38</v>
      </c>
      <c r="S15" s="8"/>
      <c r="T15" s="42" t="str">
        <f>IF(S$4=0,"N.D.",S15/S$4)</f>
        <v>0</v>
      </c>
      <c r="U15" s="8">
        <f>(BDER!K13+BDER!K35+BDER!K57+BDER!K79+BDER!K101+BDER!K123)/1000</f>
        <v>0</v>
      </c>
      <c r="V15" s="42" t="str">
        <f>IF(U$4=0,"N.D.",U15/U$4)</f>
        <v>N.D.</v>
      </c>
      <c r="W15" s="8">
        <f>(BDER!K476+BDER!K499+BDER!K566+BDER!K611)*TC_MES/1000</f>
        <v>-211.146912</v>
      </c>
      <c r="X15" s="42">
        <f>IF(W$4=0,"N.D.",W15/W$4)</f>
        <v>-0.0074541558703976</v>
      </c>
      <c r="Y15" s="8">
        <f>Y88*TC_MES</f>
        <v>0</v>
      </c>
      <c r="Z15" s="42">
        <f>IF(Y$4=0,"N.D.",Y15/Y$4)</f>
        <v>0</v>
      </c>
      <c r="AA15" s="8">
        <f>(BDER!K299+BDER!K321+BDER!G343+BDER!K365+BDER!K387+BDER!K409)/1000</f>
        <v>0</v>
      </c>
      <c r="AB15" s="42">
        <f>IF(AA$4=0,"N.D.",AA15/AA$4)</f>
        <v>0</v>
      </c>
      <c r="AC15" s="8">
        <f>(BDER!K431+BDER!K453)/1000</f>
        <v>0</v>
      </c>
      <c r="AD15" s="42">
        <f>IF(AC$4=0,"N.D.",AC15/AC$4)</f>
        <v>0</v>
      </c>
      <c r="AE15" s="11">
        <f>+AA15+U15+S15+AC15+W15+Y15</f>
        <v>-211.146912</v>
      </c>
      <c r="AF15" s="42">
        <f>IF(AE$4=0,"N.D.",AE15/AE$4)</f>
        <v>-0.0011613312824937</v>
      </c>
      <c r="AG15" s="25"/>
      <c r="AH15" s="7" t="s">
        <v>38</v>
      </c>
      <c r="AI15" s="8"/>
      <c r="AJ15" s="42" t="str">
        <f>IF(AI$4=0,"N.D.",AI15/AI$4)</f>
        <v>0</v>
      </c>
      <c r="AK15" s="8">
        <f>(BDER!G13+BDER!G35+BDER!G57+BDER!G79+BDER!G101+BDER!G123)/1000</f>
        <v>-143.14764</v>
      </c>
      <c r="AL15" s="42">
        <f>IF(AK$4=0,"N.D.",AK15/AK$4)</f>
        <v>-0.0024241167555311</v>
      </c>
      <c r="AM15" s="8">
        <f>(BDER!G476+BDER!G499+BDER!G566+BDER!G611)*TC_MES/1000</f>
        <v>-183.37017168</v>
      </c>
      <c r="AN15" s="42">
        <f>IF(AM$4=0,"N.D.",AM15/AM$4)</f>
        <v>-0.0067309165087216</v>
      </c>
      <c r="AO15" s="8">
        <f>AO88*TC_MES</f>
        <v>63.538433928</v>
      </c>
      <c r="AP15" s="42">
        <f>IF(AO$4=0,"N.D.",AO15/AO$4)</f>
        <v>0.023845072493237</v>
      </c>
      <c r="AQ15" s="8">
        <f>(BDER!G299+BDER!G321+BDER!E343+BDER!G365+BDER!G387+BDER!G409)/1000</f>
        <v>-799.97715</v>
      </c>
      <c r="AR15" s="42">
        <f>IF(AQ$4=0,"N.D.",AQ15/AQ$4)</f>
        <v>-0.0049238583666814</v>
      </c>
      <c r="AS15" s="8">
        <f>(BDER!G431+BDER!G453)/1000</f>
        <v>-25.7185</v>
      </c>
      <c r="AT15" s="42">
        <f>IF(AS$4=0,"N.D.",AS15/AS$4)</f>
        <v>-0.019632774556968</v>
      </c>
      <c r="AU15" s="11">
        <f>+AQ15+AK15+AI15+AS15+AM15+AO15</f>
        <v>-1088.675027752</v>
      </c>
      <c r="AV15" s="42">
        <f>IF(AU$4=0,"N.D.",AU15/AU$4)</f>
        <v>-0.0043075135703027</v>
      </c>
      <c r="AW15" s="25"/>
      <c r="AX15" s="1" t="s">
        <v>38</v>
      </c>
      <c r="AY15" s="11">
        <f>O19</f>
        <v>-1829.830039096</v>
      </c>
      <c r="AZ15" s="12">
        <f>IF(AY$4=0,"N.D.",AY15/AY$4)</f>
        <v>-0.0068487577124692</v>
      </c>
      <c r="BA15" s="11">
        <f>AE15</f>
        <v>-211.146912</v>
      </c>
      <c r="BB15" s="12">
        <f>IF(BA$4=0,"N.D.",BA15/BA$4)</f>
        <v>-0.0011613312824937</v>
      </c>
      <c r="BC15" s="11">
        <f>AU15</f>
        <v>-1088.675027752</v>
      </c>
      <c r="BD15" s="12">
        <f>IF(BC$4=0,"N.D.",BC15/BC$4)</f>
        <v>-0.0043075135703027</v>
      </c>
      <c r="BE15" s="11">
        <f>+AY15-BA15</f>
        <v>-1618.683127096</v>
      </c>
      <c r="BF15" s="21">
        <f>IF(BA15=0,"N.D.",AY15/BA15-1)</f>
        <v>7.6661463422018</v>
      </c>
      <c r="BG15" s="11">
        <f>AY15-BC15</f>
        <v>-741.155011344</v>
      </c>
      <c r="BH15" s="13">
        <f>IF(BC15=0, "N.D.",AY15/BC15-1)</f>
        <v>0.68078626996194</v>
      </c>
    </row>
    <row r="16" spans="1:60">
      <c r="B16" s="4" t="s">
        <v>33</v>
      </c>
      <c r="C16" s="14"/>
      <c r="D16" s="22" t="str">
        <f>IF(C$4=0,"N.D.",C16/C$4)</f>
        <v>0</v>
      </c>
      <c r="E16" s="14">
        <f>+E13-E14-E15</f>
        <v>6360.01643</v>
      </c>
      <c r="F16" s="22">
        <f>IF(E$4=0,"N.D.",E16/E$4)</f>
        <v>0.11934112423393</v>
      </c>
      <c r="G16" s="14">
        <f>+G13-G14-G15</f>
        <v>1802.02260132</v>
      </c>
      <c r="H16" s="22">
        <f>IF(G$4=0,"N.D.",G16/G$4)</f>
        <v>0.056530754377076</v>
      </c>
      <c r="I16" s="14">
        <f>+I13-I14-I15</f>
        <v>1038.087208512</v>
      </c>
      <c r="J16" s="22">
        <f>IF(I$4=0,"N.D.",I16/I$4)</f>
        <v>0.49785213568171</v>
      </c>
      <c r="K16" s="14">
        <f>+K13-K14-K15</f>
        <v>9442.50921</v>
      </c>
      <c r="L16" s="22">
        <f>IF(K$4=0,"N.D.",K16/K$4)</f>
        <v>0.054734334232394</v>
      </c>
      <c r="M16" s="14">
        <f>+M13-M14-M15</f>
        <v>2869.00032</v>
      </c>
      <c r="N16" s="22">
        <f>IF(M$4=0,"N.D.",M16/M$4)</f>
        <v>0.38734106570241</v>
      </c>
      <c r="O16" s="14">
        <f>+O13-O14-O15</f>
        <v>21511.635769832</v>
      </c>
      <c r="P16" s="22">
        <f>IF(O$4=0,"N.D.",O16/O$4)</f>
        <v>0.080514571429405</v>
      </c>
      <c r="R16" s="7" t="s">
        <v>39</v>
      </c>
      <c r="S16" s="8"/>
      <c r="T16" s="42" t="str">
        <f>IF(S$4=0,"N.D.",S16/S$4)</f>
        <v>0</v>
      </c>
      <c r="U16" s="8">
        <f>(BDER!K14+BDER!K36+BDER!K58+BDER!K80+BDER!K102+BDER!K124)/1000</f>
        <v>0</v>
      </c>
      <c r="V16" s="42" t="str">
        <f>IF(U$4=0,"N.D.",U16/U$4)</f>
        <v>N.D.</v>
      </c>
      <c r="W16" s="8">
        <f>(BDER!K477+BDER!K500+BDER!K567+BDER!K612)*TC_MES/1000</f>
        <v>0</v>
      </c>
      <c r="X16" s="42">
        <f>IF(W$4=0,"N.D.",W16/W$4)</f>
        <v>0</v>
      </c>
      <c r="Y16" s="8">
        <f>Y89*TC_MES</f>
        <v>175.95576</v>
      </c>
      <c r="Z16" s="42">
        <f>IF(Y$4=0,"N.D.",Y16/Y$4)</f>
        <v>0.083754512635379</v>
      </c>
      <c r="AA16" s="8">
        <f>(BDER!K300+BDER!K322+BDER!G344+BDER!K366+BDER!K388+BDER!K410)/1000</f>
        <v>287.883</v>
      </c>
      <c r="AB16" s="42">
        <f>IF(AA$4=0,"N.D.",AA16/AA$4)</f>
        <v>0.0020546200063148</v>
      </c>
      <c r="AC16" s="8">
        <f>(BDER!K432+BDER!K454)/1000</f>
        <v>5</v>
      </c>
      <c r="AD16" s="42">
        <f>IF(AC$4=0,"N.D.",AC16/AC$4)</f>
        <v>0.00044355095539989</v>
      </c>
      <c r="AE16" s="11">
        <f>+AA16+U16+S16+AC16+W16+Y16</f>
        <v>468.83876</v>
      </c>
      <c r="AF16" s="42">
        <f>IF(AE$4=0,"N.D.",AE16/AE$4)</f>
        <v>0.0025786648418214</v>
      </c>
      <c r="AG16" s="25"/>
      <c r="AH16" s="7" t="s">
        <v>39</v>
      </c>
      <c r="AI16" s="8"/>
      <c r="AJ16" s="42" t="str">
        <f>IF(AI$4=0,"N.D.",AI16/AI$4)</f>
        <v>0</v>
      </c>
      <c r="AK16" s="8">
        <f>(BDER!G14+BDER!G36+BDER!G58+BDER!G80+BDER!G102+BDER!G124)/1000</f>
        <v>497.28535</v>
      </c>
      <c r="AL16" s="42">
        <f>IF(AK$4=0,"N.D.",AK16/AK$4)</f>
        <v>0.0084212198623403</v>
      </c>
      <c r="AM16" s="8">
        <f>(BDER!G477+BDER!G500+BDER!G567+BDER!G612)*TC_MES/1000</f>
        <v>172.568106</v>
      </c>
      <c r="AN16" s="42">
        <f>IF(AM$4=0,"N.D.",AM16/AM$4)</f>
        <v>0.0063344081696189</v>
      </c>
      <c r="AO16" s="8">
        <f>AO89*TC_MES</f>
        <v>814.729169016</v>
      </c>
      <c r="AP16" s="42">
        <f>IF(AO$4=0,"N.D.",AO16/AO$4)</f>
        <v>0.305756294207</v>
      </c>
      <c r="AQ16" s="8">
        <f>(BDER!G300+BDER!G322+BDER!E344+BDER!G366+BDER!G388+BDER!G410)/1000</f>
        <v>365.61816</v>
      </c>
      <c r="AR16" s="42">
        <f>IF(AQ$4=0,"N.D.",AQ16/AQ$4)</f>
        <v>0.0022503793216177</v>
      </c>
      <c r="AS16" s="8">
        <f>(BDER!G432+BDER!G454)/1000</f>
        <v>3.42216</v>
      </c>
      <c r="AT16" s="42">
        <f>IF(AS$4=0,"N.D.",AS16/AS$4)</f>
        <v>0.0026123800290793</v>
      </c>
      <c r="AU16" s="11">
        <f>+AQ16+AK16+AI16+AS16+AM16+AO16</f>
        <v>1853.622945016</v>
      </c>
      <c r="AV16" s="42">
        <f>IF(AU$4=0,"N.D.",AU16/AU$4)</f>
        <v>0.007334150032235</v>
      </c>
      <c r="AW16" s="25"/>
      <c r="AX16" s="1" t="s">
        <v>39</v>
      </c>
      <c r="AY16" s="11">
        <f>O20</f>
        <v>1359.145836992</v>
      </c>
      <c r="AZ16" s="12">
        <f>IF(AY$4=0,"N.D.",AY16/AY$4)</f>
        <v>0.0050870629154542</v>
      </c>
      <c r="BA16" s="11">
        <f>AE16</f>
        <v>468.83876</v>
      </c>
      <c r="BB16" s="12">
        <f>IF(BA$4=0,"N.D.",BA16/BA$4)</f>
        <v>0.0025786648418214</v>
      </c>
      <c r="BC16" s="11">
        <f>AU16</f>
        <v>1853.622945016</v>
      </c>
      <c r="BD16" s="12">
        <f>IF(BC$4=0,"N.D.",BC16/BC$4)</f>
        <v>0.007334150032235</v>
      </c>
      <c r="BE16" s="11">
        <f>+AY16-BA16</f>
        <v>890.307076992</v>
      </c>
      <c r="BF16" s="13">
        <f>IF(BA16=0,"N.D.",AY16/BA16-1)</f>
        <v>1.8989621868977</v>
      </c>
      <c r="BG16" s="11">
        <f>AY16-BC16</f>
        <v>-494.477108024</v>
      </c>
      <c r="BH16" s="13">
        <f>IF(BC16=0, "N.D.",AY16/BC16-1)</f>
        <v>-0.2667625092544</v>
      </c>
    </row>
    <row r="17" spans="1:60">
      <c r="B17" s="1"/>
      <c r="C17" s="30"/>
      <c r="D17" s="18"/>
      <c r="E17" s="30"/>
      <c r="F17" s="18"/>
      <c r="G17" s="30"/>
      <c r="H17" s="18"/>
      <c r="I17" s="30"/>
      <c r="J17" s="18"/>
      <c r="K17" s="30"/>
      <c r="L17" s="18"/>
      <c r="M17" s="30"/>
      <c r="N17" s="18"/>
      <c r="O17" s="30"/>
      <c r="P17" s="18"/>
      <c r="R17" s="7" t="s">
        <v>40</v>
      </c>
      <c r="S17" s="8"/>
      <c r="T17" s="42" t="str">
        <f>IF(S$4=0,"N.D.",S17/S$4)</f>
        <v>0</v>
      </c>
      <c r="U17" s="8">
        <f>(BDER!K15+BDER!K37+BDER!K59+BDER!K81+BDER!K103+BDER!K125)/1000</f>
        <v>0</v>
      </c>
      <c r="V17" s="42" t="str">
        <f>IF(U$4=0,"N.D.",U17/U$4)</f>
        <v>N.D.</v>
      </c>
      <c r="W17" s="8">
        <f>(BDER!K478+BDER!K501+BDER!K568+BDER!K613)*TC_MES/1000</f>
        <v>0</v>
      </c>
      <c r="X17" s="42">
        <f>IF(W$4=0,"N.D.",W17/W$4)</f>
        <v>0</v>
      </c>
      <c r="Y17" s="8">
        <f>Y90*TC_MES</f>
        <v>0</v>
      </c>
      <c r="Z17" s="42">
        <f>IF(Y$4=0,"N.D.",Y17/Y$4)</f>
        <v>0</v>
      </c>
      <c r="AA17" s="8">
        <f>(BDER!K301+BDER!K323+BDER!G345+BDER!K367+BDER!K389+BDER!K411)/1000</f>
        <v>0</v>
      </c>
      <c r="AB17" s="42">
        <f>IF(AA$4=0,"N.D.",AA17/AA$4)</f>
        <v>0</v>
      </c>
      <c r="AC17" s="8">
        <f>(BDER!K433+BDER!K455)/1000</f>
        <v>495</v>
      </c>
      <c r="AD17" s="42">
        <f>IF(AC$4=0,"N.D.",AC17/AC$4)</f>
        <v>0.043911544584589</v>
      </c>
      <c r="AE17" s="11">
        <f>+AA17+U17+S17+AC17+W17+Y17</f>
        <v>495</v>
      </c>
      <c r="AF17" s="42">
        <f>IF(AE$4=0,"N.D.",AE17/AE$4)</f>
        <v>0.0027225545445551</v>
      </c>
      <c r="AG17" s="25"/>
      <c r="AH17" s="7" t="s">
        <v>40</v>
      </c>
      <c r="AI17" s="8"/>
      <c r="AJ17" s="42" t="str">
        <f>IF(AI$4=0,"N.D.",AI17/AI$4)</f>
        <v>0</v>
      </c>
      <c r="AK17" s="8">
        <f>(BDER!G15+BDER!G37+BDER!G59+BDER!G81+BDER!G103+BDER!G125)/1000</f>
        <v>42.80233</v>
      </c>
      <c r="AL17" s="42">
        <f>IF(AK$4=0,"N.D.",AK17/AK$4)</f>
        <v>0.00072483098798395</v>
      </c>
      <c r="AM17" s="8">
        <f>(BDER!G478+BDER!G501+BDER!G568+BDER!G613)*TC_MES/1000</f>
        <v>0</v>
      </c>
      <c r="AN17" s="42">
        <f>IF(AM$4=0,"N.D.",AM17/AM$4)</f>
        <v>0</v>
      </c>
      <c r="AO17" s="8">
        <f>AO90*TC_MES</f>
        <v>0</v>
      </c>
      <c r="AP17" s="42">
        <f>IF(AO$4=0,"N.D.",AO17/AO$4)</f>
        <v>0</v>
      </c>
      <c r="AQ17" s="8">
        <f>(BDER!G301+BDER!G323+BDER!E345+BDER!G367+BDER!G389+BDER!G411)/1000</f>
        <v>0.03214</v>
      </c>
      <c r="AR17" s="42">
        <f>IF(AQ$4=0,"N.D.",AQ17/AQ$4)</f>
        <v>1.9782166016259E-7</v>
      </c>
      <c r="AS17" s="8">
        <f>(BDER!G433+BDER!G455)/1000</f>
        <v>493.88646</v>
      </c>
      <c r="AT17" s="42">
        <f>IF(AS$4=0,"N.D.",AS17/AS$4)</f>
        <v>0.37701893679333</v>
      </c>
      <c r="AU17" s="11">
        <f>+AQ17+AK17+AI17+AS17+AM17+AO17</f>
        <v>536.72093</v>
      </c>
      <c r="AV17" s="42">
        <f>IF(AU$4=0,"N.D.",AU17/AU$4)</f>
        <v>0.0021236205759347</v>
      </c>
      <c r="AW17" s="25"/>
      <c r="AX17" s="1" t="s">
        <v>40</v>
      </c>
      <c r="AY17" s="11">
        <f>O21</f>
        <v>469.550985</v>
      </c>
      <c r="AZ17" s="12">
        <f>IF(AY$4=0,"N.D.",AY17/AY$4)</f>
        <v>0.0017574533487848</v>
      </c>
      <c r="BA17" s="11">
        <f>AE17</f>
        <v>495</v>
      </c>
      <c r="BB17" s="12">
        <f>IF(BA$4=0,"N.D.",BA17/BA$4)</f>
        <v>0.0027225545445551</v>
      </c>
      <c r="BC17" s="11">
        <f>AU17</f>
        <v>536.72093</v>
      </c>
      <c r="BD17" s="12">
        <f>IF(BC$4=0,"N.D.",BC17/BC$4)</f>
        <v>0.0021236205759347</v>
      </c>
      <c r="BE17" s="11">
        <f>+AY17-BA17</f>
        <v>-25.449015</v>
      </c>
      <c r="BF17" s="13">
        <f>IF(BA17=0,"N.D.",AY17/BA17-1)</f>
        <v>-0.051412151515151</v>
      </c>
      <c r="BG17" s="11">
        <f>AY17-BC17</f>
        <v>-67.169945</v>
      </c>
      <c r="BH17" s="13">
        <f>IF(BC17=0, "N.D.",AY17/BC17-1)</f>
        <v>-0.12514873418482</v>
      </c>
    </row>
    <row r="18" spans="1:60">
      <c r="B18" s="7" t="s">
        <v>36</v>
      </c>
      <c r="C18" s="8"/>
      <c r="D18" s="141" t="str">
        <f>IF(C$4=0,"N.D.",C18/C$4)</f>
        <v>0</v>
      </c>
      <c r="E18" s="8">
        <f>TablasERxDiv!AA15</f>
        <v>166.32413</v>
      </c>
      <c r="F18" s="141">
        <f>IF(E$4=0,"N.D.",E18/E$4)</f>
        <v>0.0031209524188964</v>
      </c>
      <c r="G18" s="8">
        <v>0</v>
      </c>
      <c r="H18" s="141">
        <f>IF(G$4=0,"N.D.",G18/G$4)</f>
        <v>0</v>
      </c>
      <c r="I18" s="8">
        <v>0</v>
      </c>
      <c r="J18" s="141">
        <f>IF(I$4=0,"N.D.",I18/I$4)</f>
        <v>0</v>
      </c>
      <c r="K18" s="8">
        <f>TablasERxDiv!AT15</f>
        <v>754.73523</v>
      </c>
      <c r="L18" s="141">
        <f>IF(K$4=0,"N.D.",K18/K$4)</f>
        <v>0.0043748890699555</v>
      </c>
      <c r="M18" s="8">
        <f>TablasERxDiv!BC15</f>
        <v>17.21902</v>
      </c>
      <c r="N18" s="141">
        <f>IF(M$4=0,"N.D.",M18/M$4)</f>
        <v>0.0023247238805296</v>
      </c>
      <c r="O18" s="8">
        <f>+K18+E18+C18+M18+G18+I18</f>
        <v>938.27838</v>
      </c>
      <c r="P18" s="141">
        <f>IF(O$4=0,"N.D.",O18/O$4)</f>
        <v>0.0035118241334823</v>
      </c>
      <c r="R18" s="7"/>
      <c r="S18" s="8"/>
      <c r="T18" s="42" t="str">
        <f>IF(S$4=0,"N.D.",S18/S$4)</f>
        <v>0</v>
      </c>
      <c r="U18" s="8">
        <f>(BDER!K16+BDER!K38+BDER!K60+BDER!K82+BDER!K104+BDER!K126)/1000</f>
        <v>0</v>
      </c>
      <c r="V18" s="42" t="str">
        <f>IF(U$4=0,"N.D.",U18/U$4)</f>
        <v>N.D.</v>
      </c>
      <c r="W18" s="8">
        <f>(BDER!K479+BDER!K502+BDER!K569+BDER!K614)*TC_MES/1000</f>
        <v>0</v>
      </c>
      <c r="X18" s="42">
        <f>IF(W$4=0,"N.D.",W18/W$4)</f>
        <v>0</v>
      </c>
      <c r="Y18" s="8">
        <f>Y91*TC_MES</f>
        <v>0</v>
      </c>
      <c r="Z18" s="42">
        <f>IF(Y$4=0,"N.D.",Y18/Y$4)</f>
        <v>0</v>
      </c>
      <c r="AA18" s="8">
        <f>(BDER!K302+BDER!K324+BDER!G346+BDER!K368+BDER!K390+BDER!K412)/1000</f>
        <v>0</v>
      </c>
      <c r="AB18" s="42">
        <f>IF(AA$4=0,"N.D.",AA18/AA$4)</f>
        <v>0</v>
      </c>
      <c r="AC18" s="8">
        <f>(BDER!K434+BDER!K456)/1000</f>
        <v>0</v>
      </c>
      <c r="AD18" s="42">
        <f>IF(AC$4=0,"N.D.",AC18/AC$4)</f>
        <v>0</v>
      </c>
      <c r="AE18" s="11">
        <f>+AA18+U18+S18+AC18+W18+Y18</f>
        <v>0</v>
      </c>
      <c r="AF18" s="42">
        <f>IF(AE$4=0,"N.D.",AE18/AE$4)</f>
        <v>0</v>
      </c>
      <c r="AG18" s="25"/>
      <c r="AH18" s="7"/>
      <c r="AI18" s="8"/>
      <c r="AJ18" s="42" t="str">
        <f>IF(AI$4=0,"N.D.",AI18/AI$4)</f>
        <v>0</v>
      </c>
      <c r="AK18" s="8">
        <f>(BDER!G16+BDER!G38+BDER!G60+BDER!G82+BDER!G104+BDER!G126)/1000</f>
        <v>0</v>
      </c>
      <c r="AL18" s="42">
        <f>IF(AK$4=0,"N.D.",AK18/AK$4)</f>
        <v>0</v>
      </c>
      <c r="AM18" s="8">
        <f>(BDER!G479+BDER!G502+BDER!G569+BDER!G614)*TC_MES/1000</f>
        <v>0</v>
      </c>
      <c r="AN18" s="42">
        <f>IF(AM$4=0,"N.D.",AM18/AM$4)</f>
        <v>0</v>
      </c>
      <c r="AO18" s="8">
        <f>AO91*TC_MES</f>
        <v>0</v>
      </c>
      <c r="AP18" s="42">
        <f>IF(AO$4=0,"N.D.",AO18/AO$4)</f>
        <v>0</v>
      </c>
      <c r="AQ18" s="8">
        <f>(BDER!G302+BDER!G324+BDER!E346+BDER!G368+BDER!G390+BDER!G412)/1000</f>
        <v>0</v>
      </c>
      <c r="AR18" s="42">
        <f>IF(AQ$4=0,"N.D.",AQ18/AQ$4)</f>
        <v>0</v>
      </c>
      <c r="AS18" s="8">
        <f>(BDER!G434+BDER!G456)/1000</f>
        <v>0</v>
      </c>
      <c r="AT18" s="42">
        <f>IF(AS$4=0,"N.D.",AS18/AS$4)</f>
        <v>0</v>
      </c>
      <c r="AU18" s="11">
        <f>+AQ18+AK18+AI18+AS18+AM18+AO18</f>
        <v>0</v>
      </c>
      <c r="AV18" s="42">
        <f>IF(AU$4=0,"N.D.",AU18/AU$4)</f>
        <v>0</v>
      </c>
      <c r="AW18" s="25"/>
      <c r="AX18" s="1"/>
      <c r="AY18" s="11">
        <f>O22</f>
        <v>0</v>
      </c>
      <c r="AZ18" s="12">
        <f>IF(AY$4=0,"N.D.",AY18/AY$4)</f>
        <v>0</v>
      </c>
      <c r="BA18" s="11">
        <f>AE18</f>
        <v>0</v>
      </c>
      <c r="BB18" s="12">
        <f>IF(BA$4=0,"N.D.",BA18/BA$4)</f>
        <v>0</v>
      </c>
      <c r="BC18" s="11">
        <f>AU18</f>
        <v>0</v>
      </c>
      <c r="BD18" s="12">
        <f>IF(BC$4=0,"N.D.",BC18/BC$4)</f>
        <v>0</v>
      </c>
      <c r="BE18" s="11">
        <f>+AY18-BA18</f>
        <v>0</v>
      </c>
      <c r="BF18" s="13" t="str">
        <f>IF(BA18=0,"N.D.",AY18/BA18-1)</f>
        <v>N.D.</v>
      </c>
      <c r="BG18" s="11">
        <f>AY18-BC18</f>
        <v>0</v>
      </c>
      <c r="BH18" s="13" t="str">
        <f>IF(BC18=0, "N.D.",AY18/BC18-1)</f>
        <v>N.D.</v>
      </c>
    </row>
    <row r="19" spans="1:60">
      <c r="B19" s="7" t="s">
        <v>38</v>
      </c>
      <c r="C19" s="11"/>
      <c r="D19" s="138" t="str">
        <f>IF(C$4=0,"N.D.",C19/C$4)</f>
        <v>0</v>
      </c>
      <c r="E19" s="11">
        <f>TablasERxDiv!AA16</f>
        <v>-250.72368</v>
      </c>
      <c r="F19" s="138">
        <f>IF(E$4=0,"N.D.",E19/E$4)</f>
        <v>-0.0047046491424342</v>
      </c>
      <c r="G19" s="11">
        <f>TablasERxDiv!BP15*TC_MES</f>
        <v>-204.943359096</v>
      </c>
      <c r="H19" s="138">
        <f>IF(G$4=0,"N.D.",G19/G$4)</f>
        <v>-0.0064292216345024</v>
      </c>
      <c r="I19" s="11">
        <f>TablasERxDiv!CF15*TC_MES</f>
        <v>0</v>
      </c>
      <c r="J19" s="138">
        <f>IF(I$4=0,"N.D.",I19/I$4)</f>
        <v>0</v>
      </c>
      <c r="K19" s="11">
        <f>TablasERxDiv!AT16</f>
        <v>-1365.88741</v>
      </c>
      <c r="L19" s="138">
        <f>IF(K$4=0,"N.D.",K19/K$4)</f>
        <v>-0.0079174863757172</v>
      </c>
      <c r="M19" s="11">
        <f>TablasERxDiv!BC16</f>
        <v>-8.27559</v>
      </c>
      <c r="N19" s="138">
        <f>IF(M$4=0,"N.D.",M19/M$4)</f>
        <v>-0.0011172797115325</v>
      </c>
      <c r="O19" s="11">
        <f>+K19+E19+C19+M19+G19+I19</f>
        <v>-1829.830039096</v>
      </c>
      <c r="P19" s="138">
        <f>IF(O$4=0,"N.D.",O19/O$4)</f>
        <v>-0.0068487577124692</v>
      </c>
      <c r="R19" s="4" t="s">
        <v>41</v>
      </c>
      <c r="S19" s="200"/>
      <c r="T19" s="43" t="str">
        <f>IF(S$4=0,"N.D.",S19/S$4)</f>
        <v>0</v>
      </c>
      <c r="U19" s="14">
        <f>U14+U15+U16-U17-U18</f>
        <v>0</v>
      </c>
      <c r="V19" s="43" t="str">
        <f>IF(U$4=0,"N.D.",U19/U$4)</f>
        <v>N.D.</v>
      </c>
      <c r="W19" s="200">
        <f>W14+W15+W16-W17-W18</f>
        <v>-211.146912</v>
      </c>
      <c r="X19" s="43">
        <f>IF(W$4=0,"N.D.",W19/W$4)</f>
        <v>-0.0074541558703976</v>
      </c>
      <c r="Y19" s="200">
        <f>Y14+Y15+Y16-Y17-Y18</f>
        <v>175.95576</v>
      </c>
      <c r="Z19" s="43">
        <f>IF(Y$4=0,"N.D.",Y19/Y$4)</f>
        <v>0.083754512635379</v>
      </c>
      <c r="AA19" s="200">
        <f>AA14+AA15+AA16-AA17-AA18</f>
        <v>-2431.029</v>
      </c>
      <c r="AB19" s="43">
        <f>IF(AA$4=0,"N.D.",AA19/AA$4)</f>
        <v>-0.017350245826713</v>
      </c>
      <c r="AC19" s="200">
        <f>AC14+AC15+AC16-AC17-AC18</f>
        <v>-577</v>
      </c>
      <c r="AD19" s="43">
        <f>IF(AC$4=0,"N.D.",AC19/AC$4)</f>
        <v>-0.051185780253147</v>
      </c>
      <c r="AE19" s="14">
        <f>AE14+AE15+AE16-AE17-AE18</f>
        <v>-3043.220152</v>
      </c>
      <c r="AF19" s="43">
        <f>IF(AE$4=0,"N.D.",AE19/AE$4)</f>
        <v>-0.016738046171534</v>
      </c>
      <c r="AG19" s="25"/>
      <c r="AH19" s="4" t="s">
        <v>41</v>
      </c>
      <c r="AI19" s="14"/>
      <c r="AJ19" s="43" t="str">
        <f>IF(AI$4=0,"N.D.",AI19/AI$4)</f>
        <v>0</v>
      </c>
      <c r="AK19" s="14">
        <f>AK14+AK15+AK16-AK17-AK18</f>
        <v>213.78382</v>
      </c>
      <c r="AL19" s="43">
        <f>IF(AK$4=0,"N.D.",AK19/AK$4)</f>
        <v>0.0036202967797683</v>
      </c>
      <c r="AM19" s="14">
        <f>AM14+AM15+AM16-AM17-AM18</f>
        <v>-10.80206568</v>
      </c>
      <c r="AN19" s="43">
        <f>IF(AM$4=0,"N.D.",AM19/AM$4)</f>
        <v>-0.00039650833910266</v>
      </c>
      <c r="AO19" s="14">
        <f>AO14+AO15+AO16-AO17-AO18</f>
        <v>878.267602944</v>
      </c>
      <c r="AP19" s="43">
        <f>IF(AO$4=0,"N.D.",AO19/AO$4)</f>
        <v>0.32960136670024</v>
      </c>
      <c r="AQ19" s="14">
        <f>AQ14+AQ15+AQ16-AQ17-AQ18</f>
        <v>-706.61149</v>
      </c>
      <c r="AR19" s="43">
        <f>IF(AQ$4=0,"N.D.",AQ19/AQ$4)</f>
        <v>-0.0043491928451078</v>
      </c>
      <c r="AS19" s="14">
        <f>AS14+AS15+AS16-AS17-AS18</f>
        <v>-482.40451</v>
      </c>
      <c r="AT19" s="43">
        <f>IF(AS$4=0,"N.D.",AS19/AS$4)</f>
        <v>-0.36825394132997</v>
      </c>
      <c r="AU19" s="14">
        <f>AU14+AU15+AU16-AU17-AU18</f>
        <v>-107.766642736</v>
      </c>
      <c r="AV19" s="43">
        <f>IF(AU$4=0,"N.D.",AU19/AU$4)</f>
        <v>-0.00042639563155023</v>
      </c>
      <c r="AW19" s="25"/>
      <c r="AX19" s="26" t="s">
        <v>41</v>
      </c>
      <c r="AY19" s="14">
        <f>O23</f>
        <v>-1.9568071039999</v>
      </c>
      <c r="AZ19" s="22">
        <f>IF(AY$4=0,"N.D.",AY19/AY$4)</f>
        <v>-7.3240123175345E-6</v>
      </c>
      <c r="BA19" s="14">
        <f>AE19</f>
        <v>-3043.220152</v>
      </c>
      <c r="BB19" s="22">
        <f>IF(BA$4=0,"N.D.",BA19/BA$4)</f>
        <v>-0.016738046171534</v>
      </c>
      <c r="BC19" s="14">
        <f>AU19</f>
        <v>-107.766642736</v>
      </c>
      <c r="BD19" s="22">
        <f>IF(BC$4=0,"N.D.",BC19/BC$4)</f>
        <v>-0.00042639563155023</v>
      </c>
      <c r="BE19" s="14">
        <f>+AY19-BA19</f>
        <v>3041.263344896</v>
      </c>
      <c r="BF19" s="23">
        <f>IF(BA19=0,"N.D.",AY19/BA19-1)</f>
        <v>-0.99935699456291</v>
      </c>
      <c r="BG19" s="14">
        <f>AY19-BC19</f>
        <v>105.809835632</v>
      </c>
      <c r="BH19" s="16">
        <f>IF(BC19=0, "N.D.",AY19/BC19-1)</f>
        <v>-0.98184218182621</v>
      </c>
    </row>
    <row r="20" spans="1:60">
      <c r="B20" s="7" t="s">
        <v>39</v>
      </c>
      <c r="C20" s="11"/>
      <c r="D20" s="138" t="str">
        <f>IF(C$4=0,"N.D.",C20/C$4)</f>
        <v>0</v>
      </c>
      <c r="E20" s="11">
        <f>TablasERxDiv!AA17</f>
        <v>909.17223</v>
      </c>
      <c r="F20" s="138">
        <f>IF(E$4=0,"N.D.",E20/E$4)</f>
        <v>0.017059961596745</v>
      </c>
      <c r="G20" s="11">
        <f>TablasERxDiv!BP16*TC_MES</f>
        <v>0</v>
      </c>
      <c r="H20" s="138">
        <f>IF(G$4=0,"N.D.",G20/G$4)</f>
        <v>0</v>
      </c>
      <c r="I20" s="11">
        <f>TablasERxDiv!CF16*TC_MES</f>
        <v>239.866936992</v>
      </c>
      <c r="J20" s="138">
        <f>IF(I$4=0,"N.D.",I20/I$4)</f>
        <v>0.1150368349419</v>
      </c>
      <c r="K20" s="11">
        <f>TablasERxDiv!AT17</f>
        <v>204.81516</v>
      </c>
      <c r="L20" s="138">
        <f>IF(K$4=0,"N.D.",K20/K$4)</f>
        <v>0.0011872290695178</v>
      </c>
      <c r="M20" s="11">
        <f>TablasERxDiv!BC17</f>
        <v>4.29151</v>
      </c>
      <c r="N20" s="138">
        <f>IF(M$4=0,"N.D.",M20/M$4)</f>
        <v>0.00057939277499717</v>
      </c>
      <c r="O20" s="11">
        <f>+K20+E20+C20+M20+G20+I20+intereses</f>
        <v>1359.145836992</v>
      </c>
      <c r="P20" s="138">
        <f>IF(O$4=0,"N.D.",O20/O$4)</f>
        <v>0.0050870629154542</v>
      </c>
      <c r="R20" s="4" t="s">
        <v>42</v>
      </c>
      <c r="S20" s="14"/>
      <c r="T20" s="43" t="str">
        <f>IF(S$4=0,"N.D.",S20/S$4)</f>
        <v>0</v>
      </c>
      <c r="U20" s="14">
        <f>+U12-U19</f>
        <v>0</v>
      </c>
      <c r="V20" s="43" t="str">
        <f>IF(U$4=0,"N.D.",U20/U$4)</f>
        <v>N.D.</v>
      </c>
      <c r="W20" s="14">
        <f>+W12-W19</f>
        <v>-718.8500664</v>
      </c>
      <c r="X20" s="43">
        <f>IF(W$4=0,"N.D.",W20/W$4)</f>
        <v>-0.025377687940761</v>
      </c>
      <c r="Y20" s="14">
        <f>+Y12-Y19</f>
        <v>976.3926696</v>
      </c>
      <c r="Z20" s="43">
        <f>IF(Y$4=0,"N.D.",Y20/Y$4)</f>
        <v>0.46476052948255</v>
      </c>
      <c r="AA20" s="14">
        <f>+AA12-AA19</f>
        <v>20340.422</v>
      </c>
      <c r="AB20" s="43">
        <f>IF(AA$4=0,"N.D.",AA20/AA$4)</f>
        <v>0.14516952365401</v>
      </c>
      <c r="AC20" s="14">
        <f>+AC12-AC19</f>
        <v>3427.786</v>
      </c>
      <c r="AD20" s="43">
        <f>IF(AC$4=0,"N.D.",AC20/AC$4)</f>
        <v>0.30407955104127</v>
      </c>
      <c r="AE20" s="14">
        <f>+AE12-AE19</f>
        <v>24025.7506032</v>
      </c>
      <c r="AF20" s="43">
        <f>IF(AE$4=0,"N.D.",AE20/AE$4)</f>
        <v>0.13214427573957</v>
      </c>
      <c r="AG20" s="25"/>
      <c r="AH20" s="4" t="s">
        <v>42</v>
      </c>
      <c r="AI20" s="14"/>
      <c r="AJ20" s="43" t="str">
        <f>IF(AI$4=0,"N.D.",AI20/AI$4)</f>
        <v>0</v>
      </c>
      <c r="AK20" s="14">
        <f>+AK12-AK19</f>
        <v>2355.23106</v>
      </c>
      <c r="AL20" s="43">
        <f>IF(AK$4=0,"N.D.",AK20/AK$4)</f>
        <v>0.039884381437886</v>
      </c>
      <c r="AM20" s="14">
        <f>+AM12-AM19</f>
        <v>-1710.909472824</v>
      </c>
      <c r="AN20" s="43">
        <f>IF(AM$4=0,"N.D.",AM20/AM$4)</f>
        <v>-0.062801865265501</v>
      </c>
      <c r="AO20" s="14">
        <f>+AO12-AO19</f>
        <v>-279.242195616</v>
      </c>
      <c r="AP20" s="43">
        <f>IF(AO$4=0,"N.D.",AO20/AO$4)</f>
        <v>-0.10479563291062</v>
      </c>
      <c r="AQ20" s="14">
        <f>+AQ12-AQ19</f>
        <v>10443.21017</v>
      </c>
      <c r="AR20" s="43">
        <f>IF(AQ$4=0,"N.D.",AQ20/AQ$4)</f>
        <v>0.064277945652032</v>
      </c>
      <c r="AS20" s="14">
        <f>+AS12-AS19</f>
        <v>75.14346</v>
      </c>
      <c r="AT20" s="43">
        <f>IF(AS$4=0,"N.D.",AS20/AS$4)</f>
        <v>0.057362389315496</v>
      </c>
      <c r="AU20" s="14">
        <f>+AU12-AU19</f>
        <v>10883.43302156</v>
      </c>
      <c r="AV20" s="43">
        <f>IF(AU$4=0,"N.D.",AU20/AU$4)</f>
        <v>0.043062010459313</v>
      </c>
      <c r="AW20" s="25"/>
      <c r="AX20" s="26" t="s">
        <v>42</v>
      </c>
      <c r="AY20" s="20">
        <f>O24</f>
        <v>21513.592576936</v>
      </c>
      <c r="AZ20" s="15">
        <f>IF(AY$4=0,"N.D.",AY20/AY$4)</f>
        <v>0.080521895441722</v>
      </c>
      <c r="BA20" s="20">
        <f>AE20</f>
        <v>24025.7506032</v>
      </c>
      <c r="BB20" s="15">
        <f>IF(BA$4=0,"N.D.",BA20/BA$4)</f>
        <v>0.13214427573957</v>
      </c>
      <c r="BC20" s="20">
        <f>AU20</f>
        <v>10883.43302156</v>
      </c>
      <c r="BD20" s="15">
        <f>IF(BC$4=0,"N.D.",BC20/BC$4)</f>
        <v>0.043062010459313</v>
      </c>
      <c r="BE20" s="14">
        <f>+AY20-BA20</f>
        <v>-2512.158026264</v>
      </c>
      <c r="BF20" s="16">
        <f>IF(BA20=0,"N.D.",AY20/BA20-1)</f>
        <v>-0.10456106315902</v>
      </c>
      <c r="BG20" s="14">
        <f>AY20-BC20</f>
        <v>10630.159555376</v>
      </c>
      <c r="BH20" s="16">
        <f>IF(BC20=0, "N.D.",AY20/BC20-1)</f>
        <v>0.97672853173422</v>
      </c>
    </row>
    <row r="21" spans="1:60">
      <c r="B21" s="7" t="s">
        <v>40</v>
      </c>
      <c r="C21" s="11"/>
      <c r="D21" s="138" t="str">
        <f>IF(C$4=0,"N.D.",C21/C$4)</f>
        <v>0</v>
      </c>
      <c r="E21" s="11">
        <f>TablasERxDiv!AA18</f>
        <v>31.72272</v>
      </c>
      <c r="F21" s="138">
        <f>IF(E$4=0,"N.D.",E21/E$4)</f>
        <v>0.00059525397618478</v>
      </c>
      <c r="G21" s="11">
        <f>TablasERxDiv!BP17*TC_MES</f>
        <v>0</v>
      </c>
      <c r="H21" s="138">
        <f>IF(G$4=0,"N.D.",G21/G$4)</f>
        <v>0</v>
      </c>
      <c r="I21" s="11">
        <f>TablasERxDiv!CF17*TC_MES</f>
        <v>0</v>
      </c>
      <c r="J21" s="138">
        <f>IF(I$4=0,"N.D.",I21/I$4)</f>
        <v>0</v>
      </c>
      <c r="K21" s="11">
        <f>TablasERxDiv!AT18</f>
        <v>65.066835</v>
      </c>
      <c r="L21" s="138">
        <f>IF(K$4=0,"N.D.",K21/K$4)</f>
        <v>0.00037716562569644</v>
      </c>
      <c r="M21" s="11">
        <f>TablasERxDiv!BC18</f>
        <v>372.76143</v>
      </c>
      <c r="N21" s="138">
        <f>IF(M$4=0,"N.D.",M21/M$4)</f>
        <v>0.050326174083158</v>
      </c>
      <c r="O21" s="11">
        <f>+K21+E21+C21+M21+G21+I21</f>
        <v>469.550985</v>
      </c>
      <c r="P21" s="138">
        <f>IF(O$4=0,"N.D.",O21/O$4)</f>
        <v>0.0017574533487848</v>
      </c>
      <c r="R21" s="1"/>
      <c r="S21" s="30"/>
      <c r="T21" s="44"/>
      <c r="U21" s="30"/>
      <c r="V21" s="44"/>
      <c r="W21" s="30"/>
      <c r="X21" s="44"/>
      <c r="Y21" s="30"/>
      <c r="Z21" s="44"/>
      <c r="AA21" s="30"/>
      <c r="AB21" s="44"/>
      <c r="AC21" s="30"/>
      <c r="AD21" s="44"/>
      <c r="AE21" s="30"/>
      <c r="AF21" s="44"/>
      <c r="AG21" s="25"/>
      <c r="AH21" s="1"/>
      <c r="AI21" s="30"/>
      <c r="AJ21" s="44"/>
      <c r="AK21" s="30"/>
      <c r="AL21" s="44"/>
      <c r="AM21" s="30"/>
      <c r="AN21" s="44"/>
      <c r="AO21" s="30"/>
      <c r="AP21" s="44"/>
      <c r="AQ21" s="30"/>
      <c r="AR21" s="44"/>
      <c r="AS21" s="30"/>
      <c r="AT21" s="44"/>
      <c r="AU21" s="30"/>
      <c r="AV21" s="44"/>
      <c r="AW21" s="25"/>
      <c r="AX21" s="1"/>
      <c r="AY21" s="30"/>
      <c r="AZ21" s="187"/>
      <c r="BA21" s="30"/>
      <c r="BB21" s="187"/>
      <c r="BC21" s="30"/>
      <c r="BD21" s="187"/>
      <c r="BE21" s="30"/>
      <c r="BF21" s="188"/>
      <c r="BG21" s="30"/>
      <c r="BH21" s="188"/>
    </row>
    <row r="22" spans="1:60">
      <c r="B22" s="7"/>
      <c r="C22" s="11"/>
      <c r="D22" s="138" t="str">
        <f>IF(C$4=0,"N.D.",C22/C$4)</f>
        <v>0</v>
      </c>
      <c r="E22" s="11">
        <f>TablasERxDiv!AA19</f>
        <v>0</v>
      </c>
      <c r="F22" s="138">
        <f>IF(E$4=0,"N.D.",E22/E$4)</f>
        <v>0</v>
      </c>
      <c r="G22" s="11">
        <v>0</v>
      </c>
      <c r="H22" s="138">
        <f>IF(G$4=0,"N.D.",G22/G$4)</f>
        <v>0</v>
      </c>
      <c r="I22" s="11">
        <v>0</v>
      </c>
      <c r="J22" s="138">
        <f>IF(I$4=0,"N.D.",I22/I$4)</f>
        <v>0</v>
      </c>
      <c r="K22" s="11">
        <f>TablasERxDiv!AT19</f>
        <v>0</v>
      </c>
      <c r="L22" s="138">
        <f>IF(K$4=0,"N.D.",K22/K$4)</f>
        <v>0</v>
      </c>
      <c r="M22" s="11">
        <f>TablasERxDiv!BC19</f>
        <v>0</v>
      </c>
      <c r="N22" s="138">
        <f>IF(M$4=0,"N.D.",M22/M$4)</f>
        <v>0</v>
      </c>
      <c r="O22" s="11">
        <f>+K22+E22+C22+M22+G22+I22</f>
        <v>0</v>
      </c>
      <c r="P22" s="138">
        <f>IF(O$4=0,"N.D.",O22/O$4)</f>
        <v>0</v>
      </c>
      <c r="R22" s="7" t="s">
        <v>43</v>
      </c>
      <c r="S22" s="8"/>
      <c r="T22" s="29" t="str">
        <f>IF(S$4=0,"N.D.",S22/S$4)</f>
        <v>0</v>
      </c>
      <c r="U22" s="8">
        <f>(BDER!K19+BDER!K41+BDER!K63+BDER!K85+BDER!K107+BDER!K129)/1000</f>
        <v>0</v>
      </c>
      <c r="V22" s="29" t="str">
        <f>IF(U$4=0,"N.D.",U22/U$4)</f>
        <v>N.D.</v>
      </c>
      <c r="W22" s="8">
        <f>(BDER!K482+BDER!K505+BDER!K572+BDER!K617)*TC_MES/1000</f>
        <v>0</v>
      </c>
      <c r="X22" s="29">
        <f>IF(W$4=0,"N.D.",W22/W$4)</f>
        <v>0</v>
      </c>
      <c r="Y22" s="8">
        <f>Y127*TC_MES</f>
        <v>0</v>
      </c>
      <c r="Z22" s="29">
        <f>IF(Y$4=0,"N.D.",Y22/Y$4)</f>
        <v>0</v>
      </c>
      <c r="AA22" s="8">
        <f>(BDER!K305+BDER!K327+BDER!G349+BDER!K371+BDER!K393+BDER!K415)/1000</f>
        <v>3002.579</v>
      </c>
      <c r="AB22" s="29">
        <f>IF(AA$4=0,"N.D.",AA22/AA$4)</f>
        <v>0.02142939626147</v>
      </c>
      <c r="AC22" s="8">
        <f>(BDER!K437+BDER!K459)/1000</f>
        <v>779.786</v>
      </c>
      <c r="AD22" s="29">
        <f>IF(AC$4=0,"N.D.",AC22/AC$4)</f>
        <v>0.069174965061491</v>
      </c>
      <c r="AE22" s="8">
        <f>+AA22+U22+S22+AC22+W22+Y22</f>
        <v>3782.365</v>
      </c>
      <c r="AF22" s="29">
        <f>IF(AE$4=0,"N.D.",AE22/AE$4)</f>
        <v>0.020803424282659</v>
      </c>
      <c r="AH22" s="7" t="s">
        <v>43</v>
      </c>
      <c r="AI22" s="8"/>
      <c r="AJ22" s="29" t="str">
        <f>IF(AI$4=0,"N.D.",AI22/AI$4)</f>
        <v>0</v>
      </c>
      <c r="AK22" s="8">
        <f>(BDER!G19+BDER!G41+BDER!G63+BDER!G85+BDER!G107+BDER!G129)/1000</f>
        <v>1283.2722</v>
      </c>
      <c r="AL22" s="29">
        <f>IF(AK$4=0,"N.D.",AK22/AK$4)</f>
        <v>0.021731421083346</v>
      </c>
      <c r="AM22" s="8">
        <f>(BDER!G482+BDER!G505+BDER!G572+BDER!G617)*TC_MES/1000</f>
        <v>0</v>
      </c>
      <c r="AN22" s="29">
        <f>IF(AM$4=0,"N.D.",AM22/AM$4)</f>
        <v>0</v>
      </c>
      <c r="AO22" s="8">
        <f>AO95*TC_MES</f>
        <v>0</v>
      </c>
      <c r="AP22" s="29">
        <f>IF(AO$4=0,"N.D.",AO22/AO$4)</f>
        <v>0</v>
      </c>
      <c r="AQ22" s="8">
        <f>(BDER!G305+BDER!G327+BDER!E349+BDER!G371+BDER!G393+BDER!G415)/1000</f>
        <v>3513.88588</v>
      </c>
      <c r="AR22" s="29">
        <f>IF(AQ$4=0,"N.D.",AQ22/AQ$4)</f>
        <v>0.021627963235952</v>
      </c>
      <c r="AS22" s="8">
        <f>(BDER!G437+BDER!G459)/1000</f>
        <v>0</v>
      </c>
      <c r="AT22" s="29">
        <f>IF(AS$4=0,"N.D.",AS22/AS$4)</f>
        <v>0</v>
      </c>
      <c r="AU22" s="8">
        <f>+AQ22+AK22+AI22+AS22+AM22+AO22</f>
        <v>4797.15808</v>
      </c>
      <c r="AV22" s="29">
        <f>IF(AU$4=0,"N.D.",AU22/AU$4)</f>
        <v>0.018980708661202</v>
      </c>
      <c r="AX22" s="1" t="s">
        <v>44</v>
      </c>
      <c r="AY22" s="8">
        <f>O26</f>
        <v>6235.25878</v>
      </c>
      <c r="AZ22" s="9">
        <f>IF(AY$4=0,"N.D.",AY22/AY$4)</f>
        <v>0.023337564553188</v>
      </c>
      <c r="BA22" s="8">
        <f>AE22</f>
        <v>3782.365</v>
      </c>
      <c r="BB22" s="9">
        <f>IF(BA$4=0,"N.D.",BA22/BA$4)</f>
        <v>0.020803424282659</v>
      </c>
      <c r="BC22" s="8">
        <f>AU22</f>
        <v>4797.15808</v>
      </c>
      <c r="BD22" s="9">
        <f>IF(BC$4=0,"N.D.",BC22/BC$4)</f>
        <v>0.018980708661202</v>
      </c>
      <c r="BE22" s="8">
        <f>+AY22-BA22</f>
        <v>2452.89378</v>
      </c>
      <c r="BF22" s="10">
        <f>IF(BA22=0,"N.D.",AY22/BA22-1)</f>
        <v>0.6485079520353</v>
      </c>
      <c r="BG22" s="8">
        <f>AY22-BC22</f>
        <v>1438.1007</v>
      </c>
      <c r="BH22" s="10">
        <f>IF(BC22=0, "N.D.",AY22/BC22-1)</f>
        <v>0.29978180331301</v>
      </c>
    </row>
    <row r="23" spans="1:60">
      <c r="B23" s="4" t="s">
        <v>41</v>
      </c>
      <c r="C23" s="14"/>
      <c r="D23" s="139" t="str">
        <f>IF(C$4=0,"N.D.",C23/C$4)</f>
        <v>0</v>
      </c>
      <c r="E23" s="14">
        <f>E18+E19+E20-E21</f>
        <v>793.04996</v>
      </c>
      <c r="F23" s="139">
        <f>IF(E$4=0,"N.D.",E23/E$4)</f>
        <v>0.014881010897022</v>
      </c>
      <c r="G23" s="14">
        <f>G18+G19+G20-G21</f>
        <v>-204.943359096</v>
      </c>
      <c r="H23" s="139">
        <f>IF(G$4=0,"N.D.",G23/G$4)</f>
        <v>-0.0064292216345024</v>
      </c>
      <c r="I23" s="14">
        <f>I18+I19+I20-I21</f>
        <v>239.866936992</v>
      </c>
      <c r="J23" s="139">
        <f>IF(I$4=0,"N.D.",I23/I$4)</f>
        <v>0.1150368349419</v>
      </c>
      <c r="K23" s="14">
        <f>K18+K19+K20-K21</f>
        <v>-471.403855</v>
      </c>
      <c r="L23" s="139">
        <f>IF(K$4=0,"N.D.",K23/K$4)</f>
        <v>-0.0027325338619404</v>
      </c>
      <c r="M23" s="14">
        <f>M18+M19+M20-M21</f>
        <v>-359.52649</v>
      </c>
      <c r="N23" s="139">
        <f>IF(M$4=0,"N.D.",M23/M$4)</f>
        <v>-0.048539337139163</v>
      </c>
      <c r="O23" s="14">
        <f>O18+O19+O20-O21</f>
        <v>-1.9568071039999</v>
      </c>
      <c r="P23" s="139">
        <f>IF(O$4=0,"N.D.",O23/O$4)</f>
        <v>-7.3240123175345E-6</v>
      </c>
      <c r="R23" s="7" t="s">
        <v>45</v>
      </c>
      <c r="S23" s="8"/>
      <c r="T23" s="42" t="str">
        <f>IF(S$4=0,"N.D.",S23/S$4)</f>
        <v>0</v>
      </c>
      <c r="U23" s="8">
        <f>(BDER!K20+BDER!K42+BDER!K64+BDER!K86+BDER!K108+BDER!K130)/1000</f>
        <v>0</v>
      </c>
      <c r="V23" s="42" t="str">
        <f>IF(U$4=0,"N.D.",U23/U$4)</f>
        <v>N.D.</v>
      </c>
      <c r="W23" s="8">
        <f>(BDER!K483+BDER!K506+BDER!K573+BDER!K618)*TC_MES/1000</f>
        <v>0</v>
      </c>
      <c r="X23" s="42">
        <f>IF(W$4=0,"N.D.",W23/W$4)</f>
        <v>0</v>
      </c>
      <c r="Y23" s="8">
        <f>Y128*TC_MES</f>
        <v>0</v>
      </c>
      <c r="Z23" s="42">
        <f>IF(Y$4=0,"N.D.",Y23/Y$4)</f>
        <v>0</v>
      </c>
      <c r="AA23" s="8">
        <f>(BDER!K306+BDER!K328+BDER!G350+BDER!K372+BDER!K394+BDER!K416)/1000</f>
        <v>0</v>
      </c>
      <c r="AB23" s="42">
        <f>IF(AA$4=0,"N.D.",AA23/AA$4)</f>
        <v>0</v>
      </c>
      <c r="AC23" s="8">
        <f>(BDER!K438+BDER!K460)/1000</f>
        <v>0</v>
      </c>
      <c r="AD23" s="42">
        <f>IF(AC$4=0,"N.D.",AC23/AC$4)</f>
        <v>0</v>
      </c>
      <c r="AE23" s="11">
        <f>+AA23+U23+S23+AC23+W23+Y23</f>
        <v>0</v>
      </c>
      <c r="AF23" s="42">
        <f>IF(AE$4=0,"N.D.",AE23/AE$4)</f>
        <v>0</v>
      </c>
      <c r="AH23" s="7" t="s">
        <v>45</v>
      </c>
      <c r="AI23" s="8"/>
      <c r="AJ23" s="42" t="str">
        <f>IF(AI$4=0,"N.D.",AI23/AI$4)</f>
        <v>0</v>
      </c>
      <c r="AK23" s="8">
        <f>(BDER!G20+BDER!G42+BDER!G64+BDER!G86+BDER!G108+BDER!G130)/1000</f>
        <v>0</v>
      </c>
      <c r="AL23" s="42">
        <f>IF(AK$4=0,"N.D.",AK23/AK$4)</f>
        <v>0</v>
      </c>
      <c r="AM23" s="8">
        <f>(BDER!G483+BDER!G506+BDER!G573+BDER!G618)*TC_MES/1000</f>
        <v>0</v>
      </c>
      <c r="AN23" s="42">
        <f>IF(AM$4=0,"N.D.",AM23/AM$4)</f>
        <v>0</v>
      </c>
      <c r="AO23" s="8">
        <f>AO96*TC_MES</f>
        <v>0</v>
      </c>
      <c r="AP23" s="42">
        <f>IF(AO$4=0,"N.D.",AO23/AO$4)</f>
        <v>0</v>
      </c>
      <c r="AQ23" s="8">
        <f>(BDER!G306+BDER!G328+BDER!E350+BDER!G372+BDER!G394+BDER!G416)/1000</f>
        <v>0</v>
      </c>
      <c r="AR23" s="42">
        <f>IF(AQ$4=0,"N.D.",AQ23/AQ$4)</f>
        <v>0</v>
      </c>
      <c r="AS23" s="8">
        <f>(BDER!G438+BDER!G460)/1000</f>
        <v>0</v>
      </c>
      <c r="AT23" s="42">
        <f>IF(AS$4=0,"N.D.",AS23/AS$4)</f>
        <v>0</v>
      </c>
      <c r="AU23" s="8">
        <f>+AQ23+AK23+AI23+AS23+AM23+AO23</f>
        <v>0</v>
      </c>
      <c r="AV23" s="42">
        <f>IF(AU$4=0,"N.D.",AU23/AU$4)</f>
        <v>0</v>
      </c>
      <c r="AX23" s="1" t="s">
        <v>46</v>
      </c>
      <c r="AY23" s="11">
        <f>O27</f>
        <v>0</v>
      </c>
      <c r="AZ23" s="12">
        <f>IF(AY$4=0,"N.D.",AY23/AY$4)</f>
        <v>0</v>
      </c>
      <c r="BA23" s="11">
        <f>AE23</f>
        <v>0</v>
      </c>
      <c r="BB23" s="12">
        <f>IF(BA$4=0,"N.D.",BA23/BA$4)</f>
        <v>0</v>
      </c>
      <c r="BC23" s="11">
        <f>AU23</f>
        <v>0</v>
      </c>
      <c r="BD23" s="12">
        <f>IF(BC$4=0,"N.D.",BC23/BC$4)</f>
        <v>0</v>
      </c>
      <c r="BE23" s="11">
        <f>+AY23-BA23</f>
        <v>0</v>
      </c>
      <c r="BF23" s="13" t="str">
        <f>IF(BA23=0,"N.D.",AY23/BA23-1)</f>
        <v>N.D.</v>
      </c>
      <c r="BG23" s="11">
        <f>AY23-BC23</f>
        <v>0</v>
      </c>
      <c r="BH23" s="13" t="str">
        <f>IF(BC23=0, "N.D.",AY23/BC23-1)</f>
        <v>N.D.</v>
      </c>
    </row>
    <row r="24" spans="1:60">
      <c r="B24" s="4" t="s">
        <v>42</v>
      </c>
      <c r="C24" s="14"/>
      <c r="D24" s="139" t="str">
        <f>IF(C$4=0,"N.D.",C24/C$4)</f>
        <v>0</v>
      </c>
      <c r="E24" s="14">
        <f>+E16-E23</f>
        <v>5566.96647</v>
      </c>
      <c r="F24" s="139">
        <f>IF(E$4=0,"N.D.",E24/E$4)</f>
        <v>0.1044601133369</v>
      </c>
      <c r="G24" s="14">
        <f>+G16-G23</f>
        <v>2006.965960416</v>
      </c>
      <c r="H24" s="139">
        <f>IF(G$4=0,"N.D.",G24/G$4)</f>
        <v>0.062959976011578</v>
      </c>
      <c r="I24" s="14">
        <f>+I16-I23</f>
        <v>798.22027152</v>
      </c>
      <c r="J24" s="139">
        <f>IF(I$4=0,"N.D.",I24/I$4)</f>
        <v>0.3828153007398</v>
      </c>
      <c r="K24" s="14">
        <f>+K16-K23</f>
        <v>9913.913065</v>
      </c>
      <c r="L24" s="139">
        <f>IF(K$4=0,"N.D.",K24/K$4)</f>
        <v>0.057466868094335</v>
      </c>
      <c r="M24" s="14">
        <f>+M16-M23</f>
        <v>3228.52681</v>
      </c>
      <c r="N24" s="139">
        <f>IF(M$4=0,"N.D.",M24/M$4)</f>
        <v>0.43588040284158</v>
      </c>
      <c r="O24" s="14">
        <f>+O16-O23</f>
        <v>21513.592576936</v>
      </c>
      <c r="P24" s="139">
        <f>IF(O$4=0,"N.D.",O24/O$4)</f>
        <v>0.080521895441722</v>
      </c>
      <c r="R24" s="4" t="s">
        <v>47</v>
      </c>
      <c r="S24" s="14"/>
      <c r="T24" s="43" t="str">
        <f>IF(S$4=0,"N.D.",S24/S$4)</f>
        <v>0</v>
      </c>
      <c r="U24" s="14">
        <f>+U20-U22-U23</f>
        <v>0</v>
      </c>
      <c r="V24" s="43" t="str">
        <f>IF(U$4=0,"N.D.",U24/U$4)</f>
        <v>N.D.</v>
      </c>
      <c r="W24" s="14">
        <f>+W20-W22-W23</f>
        <v>-718.8500664</v>
      </c>
      <c r="X24" s="43">
        <f>IF(W$4=0,"N.D.",W24/W$4)</f>
        <v>-0.025377687940761</v>
      </c>
      <c r="Y24" s="14">
        <f>+Y20-Y22-Y23</f>
        <v>976.3926696</v>
      </c>
      <c r="Z24" s="43">
        <f>IF(Y$4=0,"N.D.",Y24/Y$4)</f>
        <v>0.46476052948255</v>
      </c>
      <c r="AA24" s="14">
        <f>+AA20-AA22-AA23</f>
        <v>17337.843</v>
      </c>
      <c r="AB24" s="43">
        <f>IF(AA$4=0,"N.D.",AA24/AA$4)</f>
        <v>0.12374012739254</v>
      </c>
      <c r="AC24" s="14">
        <f>+AC20-AC22-AC23</f>
        <v>2648</v>
      </c>
      <c r="AD24" s="43">
        <f>IF(AC$4=0,"N.D.",AC24/AC$4)</f>
        <v>0.23490458597978</v>
      </c>
      <c r="AE24" s="14">
        <f>+AE20-AE22-AE23</f>
        <v>20243.3856032</v>
      </c>
      <c r="AF24" s="43">
        <f>IF(AE$4=0,"N.D.",AE24/AE$4)</f>
        <v>0.11134085145692</v>
      </c>
      <c r="AH24" s="4" t="s">
        <v>47</v>
      </c>
      <c r="AI24" s="14"/>
      <c r="AJ24" s="43" t="str">
        <f>IF(AI$4=0,"N.D.",AI24/AI$4)</f>
        <v>0</v>
      </c>
      <c r="AK24" s="14">
        <f>+AK20-AK22-AK23</f>
        <v>1071.95886</v>
      </c>
      <c r="AL24" s="43">
        <f>IF(AK$4=0,"N.D.",AK24/AK$4)</f>
        <v>0.01815296035454</v>
      </c>
      <c r="AM24" s="14">
        <f>+AM20-AM22-AM23</f>
        <v>-1710.909472824</v>
      </c>
      <c r="AN24" s="43">
        <f>IF(AM$4=0,"N.D.",AM24/AM$4)</f>
        <v>-0.062801865265501</v>
      </c>
      <c r="AO24" s="14">
        <f>+AO20-AO22-AO23</f>
        <v>-279.242195616</v>
      </c>
      <c r="AP24" s="43">
        <f>IF(AO$4=0,"N.D.",AO24/AO$4)</f>
        <v>-0.10479563291062</v>
      </c>
      <c r="AQ24" s="14">
        <f>+AQ20-AQ22-AQ23</f>
        <v>6929.32429</v>
      </c>
      <c r="AR24" s="43">
        <f>IF(AQ$4=0,"N.D.",AQ24/AQ$4)</f>
        <v>0.04264998241608</v>
      </c>
      <c r="AS24" s="14">
        <f>+AS20-AS22-AS23</f>
        <v>75.14346</v>
      </c>
      <c r="AT24" s="43">
        <f>IF(AS$4=0,"N.D.",AS24/AS$4)</f>
        <v>0.057362389315496</v>
      </c>
      <c r="AU24" s="14">
        <f>+AU20-AU22-AU23</f>
        <v>6086.27494156</v>
      </c>
      <c r="AV24" s="43">
        <f>IF(AU$4=0,"N.D.",AU24/AU$4)</f>
        <v>0.024081301798111</v>
      </c>
      <c r="AX24" s="26" t="s">
        <v>47</v>
      </c>
      <c r="AY24" s="14">
        <f>O28</f>
        <v>15278.333796936</v>
      </c>
      <c r="AZ24" s="15">
        <f>IF(AY$4=0,"N.D.",AY24/AY$4)</f>
        <v>0.057184330888534</v>
      </c>
      <c r="BA24" s="14">
        <f>AE24</f>
        <v>20243.3856032</v>
      </c>
      <c r="BB24" s="15">
        <f>IF(BA$4=0,"N.D.",BA24/BA$4)</f>
        <v>0.11134085145692</v>
      </c>
      <c r="BC24" s="14">
        <f>AU24</f>
        <v>6086.27494156</v>
      </c>
      <c r="BD24" s="15">
        <f>IF(BC$4=0,"N.D.",BC24/BC$4)</f>
        <v>0.024081301798111</v>
      </c>
      <c r="BE24" s="14">
        <f>+AY24-BA24</f>
        <v>-4965.051806264</v>
      </c>
      <c r="BF24" s="16">
        <f>IF(BA24=0,"N.D.",AY24/BA24-1)</f>
        <v>-0.24526785704656</v>
      </c>
      <c r="BG24" s="14">
        <f>AY24-BC24</f>
        <v>9192.058855376</v>
      </c>
      <c r="BH24" s="16">
        <f>IF(BC24=0, "N.D.",AY24/BC24-1)</f>
        <v>1.5102930681965</v>
      </c>
    </row>
    <row r="25" spans="1:60">
      <c r="B25" s="1"/>
      <c r="C25" s="30"/>
      <c r="D25" s="140"/>
      <c r="E25" s="30"/>
      <c r="F25" s="140"/>
      <c r="G25" s="30"/>
      <c r="H25" s="140"/>
      <c r="I25" s="30"/>
      <c r="J25" s="140"/>
      <c r="K25" s="30"/>
      <c r="L25" s="140"/>
      <c r="M25" s="30"/>
      <c r="N25" s="140"/>
      <c r="O25" s="30"/>
      <c r="P25" s="140"/>
      <c r="R25" s="4" t="s">
        <v>48</v>
      </c>
      <c r="S25" s="20"/>
      <c r="T25" s="45" t="str">
        <f>IF(S$4=0,"N.D.",S25/S$4)</f>
        <v>0</v>
      </c>
      <c r="U25" s="20">
        <f>+U12+U10</f>
        <v>0</v>
      </c>
      <c r="V25" s="45" t="str">
        <f>IF(U$4=0,"N.D.",U25/U$4)</f>
        <v>N.D.</v>
      </c>
      <c r="W25" s="20">
        <f>+W12+W10</f>
        <v>-661.12848719999</v>
      </c>
      <c r="X25" s="45">
        <f>IF(W$4=0,"N.D.",W25/W$4)</f>
        <v>-0.023339933069677</v>
      </c>
      <c r="Y25" s="20">
        <f>+Y12+Y10</f>
        <v>1429.38774</v>
      </c>
      <c r="Z25" s="45">
        <f>IF(Y$4=0,"N.D.",Y25/Y$4)</f>
        <v>0.68038507821901</v>
      </c>
      <c r="AA25" s="20">
        <f>+AA12+AA10</f>
        <v>20211.643</v>
      </c>
      <c r="AB25" s="45">
        <f>IF(AA$4=0,"N.D.",AA25/AA$4)</f>
        <v>0.14425042836254</v>
      </c>
      <c r="AC25" s="20">
        <f>+AC12+AC10</f>
        <v>2884.542</v>
      </c>
      <c r="AD25" s="45">
        <f>IF(AC$4=0,"N.D.",AC25/AC$4)</f>
        <v>0.25588827199822</v>
      </c>
      <c r="AE25" s="20">
        <f>+AE12+AE10</f>
        <v>23864.4442528</v>
      </c>
      <c r="AF25" s="45">
        <f>IF(AE$4=0,"N.D.",AE25/AE$4)</f>
        <v>0.13125707303786</v>
      </c>
      <c r="AH25" s="4" t="s">
        <v>48</v>
      </c>
      <c r="AI25" s="20"/>
      <c r="AJ25" s="45" t="str">
        <f>IF(AI$4=0,"N.D.",AI25/AI$4)</f>
        <v>0</v>
      </c>
      <c r="AK25" s="20">
        <f>+AK12+AK10</f>
        <v>3442.33949</v>
      </c>
      <c r="AL25" s="45">
        <f>IF(AK$4=0,"N.D.",AK25/AK$4)</f>
        <v>0.058293890391314</v>
      </c>
      <c r="AM25" s="20">
        <f>+AM12+AM10</f>
        <v>-1407.666507048</v>
      </c>
      <c r="AN25" s="45">
        <f>IF(AM$4=0,"N.D.",AM25/AM$4)</f>
        <v>-0.051670812347815</v>
      </c>
      <c r="AO25" s="20">
        <f>+AO12+AO10</f>
        <v>1023.794949096</v>
      </c>
      <c r="AP25" s="45">
        <f>IF(AO$4=0,"N.D.",AO25/AO$4)</f>
        <v>0.38421571433548</v>
      </c>
      <c r="AQ25" s="20">
        <f>+AQ12+AQ10</f>
        <v>12368.26708</v>
      </c>
      <c r="AR25" s="45">
        <f>IF(AQ$4=0,"N.D.",AQ25/AQ$4)</f>
        <v>0.076126668546981</v>
      </c>
      <c r="AS25" s="20">
        <f>+AS12+AS10</f>
        <v>-376.20747</v>
      </c>
      <c r="AT25" s="45">
        <f>IF(AS$4=0,"N.D.",AS25/AS$4)</f>
        <v>-0.28718612847396</v>
      </c>
      <c r="AU25" s="20">
        <f>+AU12+AU10</f>
        <v>15050.527542048</v>
      </c>
      <c r="AV25" s="45">
        <f>IF(AU$4=0,"N.D.",AU25/AU$4)</f>
        <v>0.05954977378461</v>
      </c>
      <c r="AX25" s="26" t="s">
        <v>48</v>
      </c>
      <c r="AY25" s="14">
        <f>O29</f>
        <v>25381.555027128</v>
      </c>
      <c r="AZ25" s="15">
        <f>IF(AY$4=0,"N.D.",AY25/AY$4)</f>
        <v>0.094999052935203</v>
      </c>
      <c r="BA25" s="14">
        <f>AE25</f>
        <v>23864.4442528</v>
      </c>
      <c r="BB25" s="15">
        <f>IF(BA$4=0,"N.D.",BA25/BA$4)</f>
        <v>0.13125707303786</v>
      </c>
      <c r="BC25" s="14">
        <f>AU25</f>
        <v>15050.527542048</v>
      </c>
      <c r="BD25" s="15">
        <f>IF(BC$4=0,"N.D.",BC25/BC$4)</f>
        <v>0.05954977378461</v>
      </c>
      <c r="BE25" s="14">
        <f>+AY25-BA25</f>
        <v>1517.110774328</v>
      </c>
      <c r="BF25" s="16">
        <f>IF(BA25=0,"N.D.",AY25/BA25-1)</f>
        <v>0.063572013588794</v>
      </c>
      <c r="BG25" s="14">
        <f>AY25-BC25</f>
        <v>10331.02748508</v>
      </c>
      <c r="BH25" s="16">
        <f>IF(BC25=0, "N.D.",AY25/BC25-1)</f>
        <v>0.68642294804732</v>
      </c>
    </row>
    <row r="26" spans="1:60">
      <c r="B26" s="7" t="s">
        <v>43</v>
      </c>
      <c r="C26" s="8"/>
      <c r="D26" s="141" t="str">
        <f>IF(C$4=0,"N.D.",C26/C$4)</f>
        <v>0</v>
      </c>
      <c r="E26" s="8">
        <f>TablasERxDiv!AA23</f>
        <v>1537.24566</v>
      </c>
      <c r="F26" s="141">
        <f>IF(E$4=0,"N.D.",E26/E$4)</f>
        <v>0.028845306817568</v>
      </c>
      <c r="G26" s="8">
        <f>TablasERxDiv!BP21*TC_MES</f>
        <v>0</v>
      </c>
      <c r="H26" s="141">
        <f>IF(G$4=0,"N.D.",G26/G$4)</f>
        <v>0</v>
      </c>
      <c r="I26" s="8">
        <f>TablasERxDiv!CF21*TC_MES</f>
        <v>0</v>
      </c>
      <c r="J26" s="141">
        <f>IF(I$4=0,"N.D.",I26/I$4)</f>
        <v>0</v>
      </c>
      <c r="K26" s="8">
        <f>TablasERxDiv!AT23</f>
        <v>4007.18812</v>
      </c>
      <c r="L26" s="141">
        <f>IF(K$4=0,"N.D.",K26/K$4)</f>
        <v>0.023228017999694</v>
      </c>
      <c r="M26" s="8">
        <f>TablasERxDiv!BC23</f>
        <v>690.825</v>
      </c>
      <c r="N26" s="141">
        <f>IF(M$4=0,"N.D.",M26/M$4)</f>
        <v>0.093267640943961</v>
      </c>
      <c r="O26" s="8">
        <f>+K26+E26+C26+M26+G26+I26</f>
        <v>6235.25878</v>
      </c>
      <c r="P26" s="141">
        <f>IF(O$4=0,"N.D.",O26/O$4)</f>
        <v>0.023337564553188</v>
      </c>
      <c r="AX26" s="25"/>
    </row>
    <row r="27" spans="1:60">
      <c r="B27" s="7" t="s">
        <v>46</v>
      </c>
      <c r="C27" s="11"/>
      <c r="D27" s="138" t="str">
        <f>IF(C$4=0,"N.D.",C27/C$4)</f>
        <v>0</v>
      </c>
      <c r="E27" s="11">
        <f>TablasERxDiv!AA24</f>
        <v>0</v>
      </c>
      <c r="F27" s="138">
        <f>IF(E$4=0,"N.D.",E27/E$4)</f>
        <v>0</v>
      </c>
      <c r="G27" s="11">
        <f>TablasERxDiv!BP22*TC_MES</f>
        <v>0</v>
      </c>
      <c r="H27" s="138">
        <f>IF(G$4=0,"N.D.",G27/G$4)</f>
        <v>0</v>
      </c>
      <c r="I27" s="11">
        <f>TablasERxDiv!CF22*TC_MES</f>
        <v>0</v>
      </c>
      <c r="J27" s="138">
        <f>IF(I$4=0,"N.D.",I27/I$4)</f>
        <v>0</v>
      </c>
      <c r="K27" s="11">
        <f>TablasERxDiv!AT24</f>
        <v>0</v>
      </c>
      <c r="L27" s="138">
        <f>IF(K$4=0,"N.D.",K27/K$4)</f>
        <v>0</v>
      </c>
      <c r="M27" s="11">
        <f>TablasERxDiv!BC24</f>
        <v>0</v>
      </c>
      <c r="N27" s="138">
        <f>IF(M$4=0,"N.D.",M27/M$4)</f>
        <v>0</v>
      </c>
      <c r="O27" s="11">
        <f>+K27+E27+C27+M27+G27+I27</f>
        <v>0</v>
      </c>
      <c r="P27" s="138">
        <f>IF(O$4=0,"N.D.",O27/O$4)</f>
        <v>0</v>
      </c>
    </row>
    <row r="28" spans="1:60">
      <c r="B28" s="4" t="s">
        <v>47</v>
      </c>
      <c r="C28" s="14"/>
      <c r="D28" s="139" t="str">
        <f>IF(C$4=0,"N.D.",C28/C$4)</f>
        <v>0</v>
      </c>
      <c r="E28" s="14">
        <f>E24-E26-E27</f>
        <v>4029.72081</v>
      </c>
      <c r="F28" s="139">
        <f>IF(E$4=0,"N.D.",E28/E$4)</f>
        <v>0.075614806519336</v>
      </c>
      <c r="G28" s="14">
        <f>G24-G26-G27</f>
        <v>2006.965960416</v>
      </c>
      <c r="H28" s="139">
        <f>IF(G$4=0,"N.D.",G28/G$4)</f>
        <v>0.062959976011578</v>
      </c>
      <c r="I28" s="14">
        <f>I24-I26-I27</f>
        <v>798.22027152</v>
      </c>
      <c r="J28" s="139">
        <f>IF(I$4=0,"N.D.",I28/I$4)</f>
        <v>0.3828153007398</v>
      </c>
      <c r="K28" s="14">
        <f>K24-K26-K27</f>
        <v>5906.724945</v>
      </c>
      <c r="L28" s="139">
        <f>IF(K$4=0,"N.D.",K28/K$4)</f>
        <v>0.03423885009464</v>
      </c>
      <c r="M28" s="14">
        <f>M24-M26-M27</f>
        <v>2537.70181</v>
      </c>
      <c r="N28" s="139">
        <f>IF(M$4=0,"N.D.",M28/M$4)</f>
        <v>0.34261276189762</v>
      </c>
      <c r="O28" s="14">
        <f>O24-O26-O27</f>
        <v>15278.333796936</v>
      </c>
      <c r="P28" s="139">
        <f>IF(O$4=0,"N.D.",O28/O$4)</f>
        <v>0.057184330888534</v>
      </c>
    </row>
    <row r="29" spans="1:60">
      <c r="B29" s="4" t="s">
        <v>48</v>
      </c>
      <c r="C29" s="20"/>
      <c r="D29" s="142" t="str">
        <f>IF(C$4=0,"N.D.",C29/C$4)</f>
        <v>0</v>
      </c>
      <c r="E29" s="20">
        <f>E16+E10</f>
        <v>7270.53006</v>
      </c>
      <c r="F29" s="142">
        <f>IF(E$4=0,"N.D.",E29/E$4)</f>
        <v>0.13642625623484</v>
      </c>
      <c r="G29" s="20">
        <f>G16+G10</f>
        <v>2178.440309232</v>
      </c>
      <c r="H29" s="142">
        <f>IF(G$4=0,"N.D.",G29/G$4)</f>
        <v>0.06833925054886</v>
      </c>
      <c r="I29" s="20">
        <f>I16+I10</f>
        <v>1647.345757896</v>
      </c>
      <c r="J29" s="142">
        <f>IF(I$4=0,"N.D.",I29/I$4)</f>
        <v>0.79004403199449</v>
      </c>
      <c r="K29" s="20">
        <f>K16+K10</f>
        <v>11384.31317</v>
      </c>
      <c r="L29" s="142">
        <f>IF(K$4=0,"N.D.",K29/K$4)</f>
        <v>0.065990171488859</v>
      </c>
      <c r="M29" s="20">
        <f>M16+M10</f>
        <v>2900.92573</v>
      </c>
      <c r="N29" s="142">
        <f>IF(M$4=0,"N.D.",M29/M$4)</f>
        <v>0.39165128562333</v>
      </c>
      <c r="O29" s="20">
        <f>+O16+O10</f>
        <v>25381.555027128</v>
      </c>
      <c r="P29" s="142">
        <f>IF(O$4=0,"N.D.",O29/O$4)</f>
        <v>0.094999052935203</v>
      </c>
    </row>
    <row r="30" spans="1:60">
      <c r="B30" s="4" t="s">
        <v>49</v>
      </c>
      <c r="C30" s="20"/>
      <c r="D30" s="142" t="str">
        <f>IF(C$4=0,"N.D.",C30/C$4)</f>
        <v>0</v>
      </c>
      <c r="E30" s="20">
        <f>E10+E28+division!B8</f>
        <v>4940.23444</v>
      </c>
      <c r="F30" s="142">
        <f>IF(E$4=0,"N.D.",E30/E$4)</f>
        <v>0.092699938520247</v>
      </c>
      <c r="G30" s="20">
        <f>G10+G18+G28</f>
        <v>2383.383668328</v>
      </c>
      <c r="H30" s="142">
        <f>IF(G$4=0,"N.D.",G30/G$4)</f>
        <v>0.074768472183362</v>
      </c>
      <c r="I30" s="20">
        <f>I10+I18+I28</f>
        <v>1407.478820904</v>
      </c>
      <c r="J30" s="142">
        <f>IF(I$4=0,"N.D.",I30/I$4)</f>
        <v>0.67500719705258</v>
      </c>
      <c r="K30" s="20">
        <f>K10+K18+K28</f>
        <v>8603.264135</v>
      </c>
      <c r="L30" s="142">
        <f>IF(K$4=0,"N.D.",K30/K$4)</f>
        <v>0.04986957642106</v>
      </c>
      <c r="M30" s="20">
        <f>M10+M18+M28</f>
        <v>2586.84624</v>
      </c>
      <c r="N30" s="142">
        <f>IF(M$4=0,"N.D.",M30/M$4)</f>
        <v>0.34924770569906</v>
      </c>
      <c r="O30" s="20">
        <f>division!B8+O10+O18+O28-E18</f>
        <v>19920.207304232</v>
      </c>
      <c r="P30" s="142">
        <f>IF(O$4=0,"N.D.",O30/O$4)</f>
        <v>0.074558112225682</v>
      </c>
    </row>
    <row r="31" spans="1:60">
      <c r="B31" s="7" t="s">
        <v>50</v>
      </c>
      <c r="C31" s="20"/>
      <c r="D31" s="142" t="str">
        <f>IF(C$4=0,"N.D.",C31/C$4)</f>
        <v>0</v>
      </c>
      <c r="E31" s="34">
        <f>division!B6</f>
        <v>0</v>
      </c>
      <c r="F31" s="298">
        <f>IF(E$4=0,"N.D.",E31/E$4)</f>
        <v>0</v>
      </c>
      <c r="G31" s="34">
        <f>division!G6</f>
        <v>0</v>
      </c>
      <c r="H31" s="298">
        <f>IF(G$4=0,"N.D.",G31/G$4)</f>
        <v>0</v>
      </c>
      <c r="I31" s="34">
        <f>division!H6</f>
        <v>0</v>
      </c>
      <c r="J31" s="298">
        <f>IF(I$4=0,"N.D.",I31/I$4)</f>
        <v>0</v>
      </c>
      <c r="K31" s="34">
        <f>division!E6</f>
        <v>0</v>
      </c>
      <c r="L31" s="298">
        <f>IF(K$4=0,"N.D.",K31/K$4)</f>
        <v>0</v>
      </c>
      <c r="M31" s="34">
        <f>division!F6</f>
        <v>0</v>
      </c>
      <c r="N31" s="298">
        <f>IF(M$4=0,"N.D.",M31/M$4)</f>
        <v>0</v>
      </c>
      <c r="O31" s="34">
        <f>+G31+M31+C31+E31+K31+I31+Q31</f>
        <v>0</v>
      </c>
      <c r="P31" s="298">
        <f>IF(O$4=0,"N.D.",O31/O$4)</f>
        <v>0</v>
      </c>
      <c r="Q31">
        <f>capital-intereses</f>
        <v>0</v>
      </c>
      <c r="R31" t="s">
        <v>51</v>
      </c>
    </row>
    <row r="32" spans="1:60">
      <c r="B32" s="4" t="s">
        <v>52</v>
      </c>
      <c r="C32" s="34"/>
      <c r="D32" s="298" t="str">
        <f>IF(C$4=0,"N.D.",C32/C$4)</f>
        <v>0</v>
      </c>
      <c r="E32" s="20">
        <f>+E30-E31</f>
        <v>4940.23444</v>
      </c>
      <c r="F32" s="142">
        <f>IF(E$4=0,"N.D.",E32/E$4)</f>
        <v>0.092699938520247</v>
      </c>
      <c r="G32" s="20">
        <f>+G30-G31</f>
        <v>2383.383668328</v>
      </c>
      <c r="H32" s="142">
        <f>IF(G$4=0,"N.D.",G32/G$4)</f>
        <v>0.074768472183362</v>
      </c>
      <c r="I32" s="20">
        <f>+I30-I31</f>
        <v>1407.478820904</v>
      </c>
      <c r="J32" s="142">
        <f>IF(I$4=0,"N.D.",I32/I$4)</f>
        <v>0.67500719705258</v>
      </c>
      <c r="K32" s="20">
        <f>+K30-K31</f>
        <v>8603.264135</v>
      </c>
      <c r="L32" s="142">
        <f>IF(K$4=0,"N.D.",K32/K$4)</f>
        <v>0.04986957642106</v>
      </c>
      <c r="M32" s="20">
        <f>+M30-M31</f>
        <v>2586.84624</v>
      </c>
      <c r="N32" s="142">
        <f>IF(M$4=0,"N.D.",M32/M$4)</f>
        <v>0.34924770569906</v>
      </c>
      <c r="O32" s="20">
        <f>+O30-O31</f>
        <v>19920.207304232</v>
      </c>
      <c r="P32" s="142">
        <f>IF(O$4=0,"N.D.",O32/O$4)</f>
        <v>0.074558112225682</v>
      </c>
    </row>
    <row r="33" spans="1:60">
      <c r="B33" s="7" t="s">
        <v>53</v>
      </c>
      <c r="C33" s="34"/>
      <c r="D33" s="298" t="str">
        <f>IF(C$4=0,"N.D.",C33/C$4)</f>
        <v>0</v>
      </c>
      <c r="E33" s="34">
        <f>division!B7</f>
        <v>0</v>
      </c>
      <c r="F33" s="298">
        <f>IF(E$4=0,"N.D.",E33/E$4)</f>
        <v>0</v>
      </c>
      <c r="G33" s="34">
        <f>division!G7</f>
        <v>0</v>
      </c>
      <c r="H33" s="298">
        <f>IF(G$4=0,"N.D.",G33/G$4)</f>
        <v>0</v>
      </c>
      <c r="I33" s="34">
        <f>division!H7</f>
        <v>0</v>
      </c>
      <c r="J33" s="298">
        <f>IF(I$4=0,"N.D.",I33/I$4)</f>
        <v>0</v>
      </c>
      <c r="K33" s="34">
        <f>division!E7</f>
        <v>0</v>
      </c>
      <c r="L33" s="298">
        <f>IF(K$4=0,"N.D.",K33/K$4)</f>
        <v>0</v>
      </c>
      <c r="M33" s="34">
        <f>division!F7</f>
        <v>0</v>
      </c>
      <c r="N33" s="298">
        <f>IF(M$4=0,"N.D.",M33/M$4)</f>
        <v>0</v>
      </c>
      <c r="O33" s="34">
        <f>+G33+M33+C33+E33+K33+I33</f>
        <v>0</v>
      </c>
      <c r="P33" s="298">
        <f>IF(O$4=0,"N.D.",O33/O$4)</f>
        <v>0</v>
      </c>
    </row>
    <row r="34" spans="1:60">
      <c r="B34" s="4" t="s">
        <v>54</v>
      </c>
      <c r="C34" s="20"/>
      <c r="D34" s="142" t="str">
        <f>IF(C$4=0,"N.D.",C34/C$4)</f>
        <v>0</v>
      </c>
      <c r="E34" s="20">
        <f>+E32-E33</f>
        <v>4940.23444</v>
      </c>
      <c r="F34" s="142">
        <f>IF(E$4=0,"N.D.",E34/E$4)</f>
        <v>0.092699938520247</v>
      </c>
      <c r="G34" s="20">
        <f>+G32-G33</f>
        <v>2383.383668328</v>
      </c>
      <c r="H34" s="142">
        <f>IF(G$4=0,"N.D.",G34/G$4)</f>
        <v>0.074768472183362</v>
      </c>
      <c r="I34" s="20">
        <f>+I32-I33</f>
        <v>1407.478820904</v>
      </c>
      <c r="J34" s="142">
        <f>IF(I$4=0,"N.D.",I34/I$4)</f>
        <v>0.67500719705258</v>
      </c>
      <c r="K34" s="20">
        <f>+K32-K33</f>
        <v>8603.264135</v>
      </c>
      <c r="L34" s="142">
        <f>IF(K$4=0,"N.D.",K34/K$4)</f>
        <v>0.04986957642106</v>
      </c>
      <c r="M34" s="20">
        <f>+M32-M33</f>
        <v>2586.84624</v>
      </c>
      <c r="N34" s="142">
        <f>IF(M$4=0,"N.D.",M34/M$4)</f>
        <v>0.34924770569906</v>
      </c>
      <c r="O34" s="20">
        <f>+O32-O33</f>
        <v>19920.207304232</v>
      </c>
      <c r="P34" s="142">
        <f>IF(O$4=0,"N.D.",O34/O$4)</f>
        <v>0.074558112225682</v>
      </c>
    </row>
    <row r="35" spans="1:60">
      <c r="B35" s="25"/>
    </row>
    <row r="38" spans="1:60">
      <c r="G38" s="201"/>
    </row>
    <row r="39" spans="1:60">
      <c r="A39" t="s">
        <v>10</v>
      </c>
      <c r="B39" s="371">
        <v>15</v>
      </c>
      <c r="C39" s="371"/>
      <c r="D39" s="371"/>
      <c r="E39" s="371"/>
      <c r="F39" s="371"/>
      <c r="G39" s="371"/>
      <c r="H39" s="371"/>
      <c r="I39" s="371"/>
      <c r="J39" s="371"/>
      <c r="K39" s="371"/>
      <c r="L39" s="371"/>
      <c r="M39" s="371"/>
      <c r="N39" s="371"/>
      <c r="O39" s="371"/>
      <c r="P39" s="371"/>
      <c r="R39" s="26" t="s">
        <v>55</v>
      </c>
      <c r="S39" s="39"/>
      <c r="T39" s="39"/>
      <c r="U39" s="39"/>
      <c r="V39" s="39"/>
      <c r="W39" s="39"/>
      <c r="X39" s="7"/>
      <c r="Y39" s="39"/>
      <c r="Z39" s="7"/>
      <c r="AA39" s="38"/>
      <c r="AB39" s="39"/>
      <c r="AC39" s="39"/>
      <c r="AD39" s="39"/>
      <c r="AE39" s="41"/>
      <c r="AF39" s="40"/>
      <c r="AH39" s="26" t="s">
        <v>56</v>
      </c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370" t="s">
        <v>57</v>
      </c>
      <c r="AY39" s="371"/>
      <c r="AZ39" s="371"/>
      <c r="BA39" s="371"/>
      <c r="BB39" s="371"/>
      <c r="BC39" s="371"/>
      <c r="BD39" s="371"/>
      <c r="BE39" s="371"/>
      <c r="BF39" s="371"/>
      <c r="BG39" s="371"/>
      <c r="BH39" s="371"/>
    </row>
    <row r="40" spans="1:60">
      <c r="B40" s="26"/>
      <c r="C40" s="2" t="s">
        <v>14</v>
      </c>
      <c r="D40" s="27"/>
      <c r="E40" s="2" t="s">
        <v>15</v>
      </c>
      <c r="F40" s="27"/>
      <c r="G40" s="2" t="s">
        <v>16</v>
      </c>
      <c r="H40" s="27"/>
      <c r="I40" s="2" t="s">
        <v>17</v>
      </c>
      <c r="J40" s="27"/>
      <c r="K40" s="28" t="s">
        <v>18</v>
      </c>
      <c r="L40" s="27"/>
      <c r="M40" s="2" t="s">
        <v>19</v>
      </c>
      <c r="N40" s="27"/>
      <c r="O40" s="2" t="s">
        <v>20</v>
      </c>
      <c r="P40" s="1"/>
      <c r="R40" s="25"/>
      <c r="S40" s="2" t="s">
        <v>14</v>
      </c>
      <c r="T40" s="27"/>
      <c r="U40" s="2" t="s">
        <v>15</v>
      </c>
      <c r="V40" s="27"/>
      <c r="W40" s="2" t="s">
        <v>16</v>
      </c>
      <c r="X40" s="27"/>
      <c r="Y40" s="2" t="s">
        <v>17</v>
      </c>
      <c r="Z40" s="27"/>
      <c r="AA40" s="28" t="s">
        <v>18</v>
      </c>
      <c r="AB40" s="27"/>
      <c r="AC40" s="2" t="s">
        <v>19</v>
      </c>
      <c r="AD40" s="27"/>
      <c r="AE40" s="2" t="s">
        <v>20</v>
      </c>
      <c r="AF40" s="1"/>
      <c r="AH40" s="25"/>
      <c r="AI40" s="2" t="s">
        <v>14</v>
      </c>
      <c r="AJ40" s="27"/>
      <c r="AK40" s="2" t="s">
        <v>15</v>
      </c>
      <c r="AL40" s="27"/>
      <c r="AM40" s="2" t="s">
        <v>16</v>
      </c>
      <c r="AN40" s="27"/>
      <c r="AO40" s="2" t="s">
        <v>17</v>
      </c>
      <c r="AP40" s="27"/>
      <c r="AQ40" s="28" t="s">
        <v>18</v>
      </c>
      <c r="AR40" s="27"/>
      <c r="AS40" s="2" t="s">
        <v>19</v>
      </c>
      <c r="AT40" s="27"/>
      <c r="AU40" s="2" t="s">
        <v>20</v>
      </c>
      <c r="AV40" s="1"/>
      <c r="AW40" s="25"/>
      <c r="AX40" s="7"/>
      <c r="AY40" s="2" t="s">
        <v>21</v>
      </c>
      <c r="AZ40" s="24"/>
      <c r="BA40" s="2" t="s">
        <v>22</v>
      </c>
      <c r="BB40" s="2"/>
      <c r="BC40" s="2" t="s">
        <v>23</v>
      </c>
      <c r="BD40" s="2"/>
      <c r="BE40" s="4" t="s">
        <v>24</v>
      </c>
      <c r="BF40" s="5"/>
      <c r="BG40" s="4" t="s">
        <v>25</v>
      </c>
      <c r="BH40" s="6"/>
    </row>
    <row r="41" spans="1:60">
      <c r="B41" s="7" t="s">
        <v>26</v>
      </c>
      <c r="C41" s="194"/>
      <c r="D41" s="29" t="str">
        <f>IF(C$41=0,"N.D.",C41/C$41)</f>
        <v>0</v>
      </c>
      <c r="E41" s="8">
        <f>TablasERxDiv!AA32</f>
        <v>53292.74775</v>
      </c>
      <c r="F41" s="29">
        <f>IF(E$41=0,"N.D.",E41/E$41)</f>
        <v>1</v>
      </c>
      <c r="G41" s="195">
        <f>'mxn-dll'!N5</f>
        <v>31876.853956344</v>
      </c>
      <c r="H41" s="29">
        <f>IF(G$41=0,"N.D.",G41/G$41)</f>
        <v>1</v>
      </c>
      <c r="I41" s="195">
        <f>'mxn-dll'!AC5</f>
        <v>2085.131576448</v>
      </c>
      <c r="J41" s="29">
        <f>IF(I$41=0,"N.D.",I41/I$41)</f>
        <v>1</v>
      </c>
      <c r="K41" s="195">
        <f>TablasERxDiv!AT32</f>
        <v>172515.283915</v>
      </c>
      <c r="L41" s="29">
        <f>IF(K$41=0,"N.D.",K41/K$41)</f>
        <v>1</v>
      </c>
      <c r="M41" s="195">
        <f>TablasERxDiv!BC32</f>
        <v>7406.90976</v>
      </c>
      <c r="N41" s="29">
        <f>IF(M$41=0,"N.D.",M41/M$41)</f>
        <v>1</v>
      </c>
      <c r="O41" s="195">
        <f>K41+E41+C41+M41+G41+I41</f>
        <v>267176.92695779</v>
      </c>
      <c r="P41" s="29">
        <f>IF(O$41=0,"N.D.",O41/O$41)</f>
        <v>1</v>
      </c>
      <c r="R41" s="7" t="s">
        <v>26</v>
      </c>
      <c r="S41" s="8"/>
      <c r="T41" s="29" t="str">
        <f>IF(S$41=0,"N.D.",S41/S$41)</f>
        <v>0</v>
      </c>
      <c r="U41" s="8">
        <f>(BDER!L4+BDER!L26+BDER!L48+BDER!L70+BDER!L92+BDER!L114)/1000</f>
        <v>0</v>
      </c>
      <c r="V41" s="29" t="str">
        <f>IF(U$41=0,"N.D.",U41/U$41)</f>
        <v>N.D.</v>
      </c>
      <c r="W41" s="8">
        <f>(BDER!L466+BDER!L489+BDER!L556+BDER!L601)*TC_MES/1000</f>
        <v>28326.0661128</v>
      </c>
      <c r="X41" s="29">
        <f>IF(W$41=0,"N.D.",W41/W$41)</f>
        <v>1</v>
      </c>
      <c r="Y41" s="8">
        <f>Y109*TC_MES</f>
        <v>2100.8511</v>
      </c>
      <c r="Z41" s="29">
        <f>IF(Y$41=0,"N.D.",Y41/Y$41)</f>
        <v>1</v>
      </c>
      <c r="AA41" s="8">
        <f>(BDER!L290+BDER!L312+BDER!H334+BDER!L356+BDER!L378+BDER!L400)/1000</f>
        <v>140114.96</v>
      </c>
      <c r="AB41" s="29">
        <f>IF(AA$41=0,"N.D.",AA41/AA$41)</f>
        <v>1</v>
      </c>
      <c r="AC41" s="8">
        <f>(BDER!L422+BDER!L444)/1000</f>
        <v>11272.662</v>
      </c>
      <c r="AD41" s="29">
        <f>IF(AC$41=0,"N.D.",AC41/AC$41)</f>
        <v>1</v>
      </c>
      <c r="AE41" s="8">
        <f>+AA41+U41+S41+AC41+W41+Y41</f>
        <v>181814.5392128</v>
      </c>
      <c r="AF41" s="29">
        <f>IF(AE$41=0,"N.D.",AE41/AE$41)</f>
        <v>1</v>
      </c>
      <c r="AH41" s="7" t="s">
        <v>26</v>
      </c>
      <c r="AI41" s="8"/>
      <c r="AJ41" s="29" t="str">
        <f>IF(AI$41=0,"N.D.",AI41/AI$41)</f>
        <v>0</v>
      </c>
      <c r="AK41" s="8">
        <f>(BDER!H4+BDER!H26+BDER!H48+BDER!H70+BDER!H92+BDER!H114)/1000</f>
        <v>59051.46263</v>
      </c>
      <c r="AL41" s="29">
        <f>IF(AK$41=0,"N.D.",AK41/AK$41)</f>
        <v>1</v>
      </c>
      <c r="AM41" s="8">
        <f>(BDER!H466+BDER!H489+BDER!H556+BDER!H601)*TC_MES/1000</f>
        <v>27242.972252352</v>
      </c>
      <c r="AN41" s="29">
        <f>IF(AM$41=0,"N.D.",AM41/AM$41)</f>
        <v>1</v>
      </c>
      <c r="AO41" s="8">
        <f>AO109*TC_MES</f>
        <v>2664.635804568</v>
      </c>
      <c r="AP41" s="29">
        <f>IF(AO$41=0,"N.D.",AO41/AO$41)</f>
        <v>1</v>
      </c>
      <c r="AQ41" s="8">
        <f>(BDER!H290+BDER!H312+BDER!F334+BDER!H356+BDER!H378+BDER!H400)/1000</f>
        <v>162469.56968</v>
      </c>
      <c r="AR41" s="29">
        <f>IF(AQ$41=0,"N.D.",AQ41/AQ$41)</f>
        <v>1</v>
      </c>
      <c r="AS41" s="8">
        <f>(BDER!H422+BDER!H444)/1000</f>
        <v>1309.97786</v>
      </c>
      <c r="AT41" s="29">
        <f>IF(AS$41=0,"N.D.",AS41/AS$41)</f>
        <v>1</v>
      </c>
      <c r="AU41" s="8">
        <f>+AQ41+AK41+AI41+AS41+AM41+AO41</f>
        <v>252738.61822692</v>
      </c>
      <c r="AV41" s="29">
        <f>IF(AU$41=0,"N.D.",AU41/AU$41)</f>
        <v>1</v>
      </c>
      <c r="AW41" s="25"/>
      <c r="AX41" s="7" t="s">
        <v>26</v>
      </c>
      <c r="AY41" s="8">
        <f>O41</f>
        <v>267176.92695779</v>
      </c>
      <c r="AZ41" s="9">
        <f>IF(AY$41=0,"N.D.",AY41/AY$41)</f>
        <v>1</v>
      </c>
      <c r="BA41" s="8">
        <f>AE41</f>
        <v>181814.5392128</v>
      </c>
      <c r="BB41" s="9">
        <f>IF(BA$41=0,"N.D.",BA41/BA$41)</f>
        <v>1</v>
      </c>
      <c r="BC41" s="8">
        <f>AU41</f>
        <v>252738.61822692</v>
      </c>
      <c r="BD41" s="9">
        <f>IF(BC$41=0,"N.D.",BC41/BC$41)</f>
        <v>1</v>
      </c>
      <c r="BE41" s="8">
        <f>+AY41-BA41</f>
        <v>85362.387744992</v>
      </c>
      <c r="BF41" s="10">
        <f>IF(BA41=0,"N.D.",AY41/BA41-1)</f>
        <v>0.46950253876607</v>
      </c>
      <c r="BG41" s="8">
        <f>AY41-BC41</f>
        <v>14438.308730872</v>
      </c>
      <c r="BH41" s="10">
        <f>IF(BC41=0, "N.D.",AY41/BC41-1)</f>
        <v>0.057127433995499</v>
      </c>
    </row>
    <row r="42" spans="1:60">
      <c r="B42" s="7" t="s">
        <v>27</v>
      </c>
      <c r="C42" s="196"/>
      <c r="D42" s="193" t="str">
        <f>IF(C$41=0,"N.D.",C42/C$41)</f>
        <v>0</v>
      </c>
      <c r="E42" s="34">
        <f>TablasERxDiv!AA33</f>
        <v>27361.20147</v>
      </c>
      <c r="F42" s="190">
        <f>IF(E$41=0,"N.D.",E42/E$41)</f>
        <v>0.51341322459771</v>
      </c>
      <c r="G42" s="197">
        <f>'mxn-dll'!N6</f>
        <v>9568.09096884</v>
      </c>
      <c r="H42" s="193">
        <f>IF(G$41=0,"N.D.",G42/G$41)</f>
        <v>0.30015794475652</v>
      </c>
      <c r="I42" s="197">
        <f>'mxn-dll'!AC6</f>
        <v>0</v>
      </c>
      <c r="J42" s="190">
        <f>IF(I$41=0,"N.D.",I42/I$41)</f>
        <v>0</v>
      </c>
      <c r="K42" s="197">
        <f>TablasERxDiv!AT33</f>
        <v>131951.14122</v>
      </c>
      <c r="L42" s="190">
        <f>IF(K$41=0,"N.D.",K42/K$41)</f>
        <v>0.76486638299835</v>
      </c>
      <c r="M42" s="197">
        <f>TablasERxDiv!BC33</f>
        <v>3876.13193</v>
      </c>
      <c r="N42" s="190">
        <f>IF(M$41=0,"N.D.",M42/M$41)</f>
        <v>0.52331296797114</v>
      </c>
      <c r="O42" s="197">
        <f>K42+E42+C42+M42+G42+I42</f>
        <v>172756.56558884</v>
      </c>
      <c r="P42" s="193">
        <f>IF(O$41=0,"N.D.",O42/O$41)</f>
        <v>0.64659986757064</v>
      </c>
      <c r="R42" s="7" t="s">
        <v>27</v>
      </c>
      <c r="S42" s="8"/>
      <c r="T42" s="42" t="str">
        <f>IF(S$41=0,"N.D.",S42/S$41)</f>
        <v>0</v>
      </c>
      <c r="U42" s="8">
        <f>(BDER!L5+BDER!L27+BDER!L49+BDER!L71+BDER!L93+BDER!L115)/1000</f>
        <v>0</v>
      </c>
      <c r="V42" s="42" t="str">
        <f>IF(U$41=0,"N.D.",U42/U$41)</f>
        <v>N.D.</v>
      </c>
      <c r="W42" s="8">
        <f>(BDER!L467+BDER!L490+BDER!L557+BDER!L602)*TC_MES/1000</f>
        <v>8858.866896</v>
      </c>
      <c r="X42" s="42">
        <f>IF(W$41=0,"N.D.",W42/W$41)</f>
        <v>0.31274610673866</v>
      </c>
      <c r="Y42" s="8">
        <f>Y110*TC_MES</f>
        <v>0</v>
      </c>
      <c r="Z42" s="42">
        <f>IF(Y$41=0,"N.D.",Y42/Y$41)</f>
        <v>0</v>
      </c>
      <c r="AA42" s="8">
        <f>(BDER!L291+BDER!L313+BDER!H335+BDER!L357+BDER!L379+BDER!L401)/1000</f>
        <v>93207.816</v>
      </c>
      <c r="AB42" s="42">
        <f>IF(AA$41=0,"N.D.",AA42/AA$41)</f>
        <v>0.66522387045609</v>
      </c>
      <c r="AC42" s="8">
        <f>(BDER!L423+BDER!L445)/1000</f>
        <v>7537.833</v>
      </c>
      <c r="AD42" s="42">
        <f>IF(AC$41=0,"N.D.",AC42/AC$41)</f>
        <v>0.66868260575896</v>
      </c>
      <c r="AE42" s="11">
        <f>+AA42+U42+S42+AC42+W42+Y42</f>
        <v>109604.515896</v>
      </c>
      <c r="AF42" s="42">
        <f>IF(AE$41=0,"N.D.",AE42/AE$41)</f>
        <v>0.60283691486145</v>
      </c>
      <c r="AH42" s="7" t="s">
        <v>27</v>
      </c>
      <c r="AI42" s="8"/>
      <c r="AJ42" s="42" t="str">
        <f>IF(AI$41=0,"N.D.",AI42/AI$41)</f>
        <v>0</v>
      </c>
      <c r="AK42" s="8">
        <f>(BDER!H5+BDER!H27+BDER!H49+BDER!H71+BDER!H93+BDER!H115)/1000</f>
        <v>32529.70009</v>
      </c>
      <c r="AL42" s="42">
        <f>IF(AK$41=0,"N.D.",AK42/AK$41)</f>
        <v>0.55087035343768</v>
      </c>
      <c r="AM42" s="8">
        <f>(BDER!H467+BDER!H490+BDER!H557+BDER!H602)*TC_MES/1000</f>
        <v>8934.023668536</v>
      </c>
      <c r="AN42" s="42">
        <f>IF(AM$41=0,"N.D.",AM42/AM$41)</f>
        <v>0.32793865462917</v>
      </c>
      <c r="AO42" s="8">
        <f>AO110*TC_MES</f>
        <v>0</v>
      </c>
      <c r="AP42" s="42">
        <f>IF(AO$41=0,"N.D.",AO42/AO$41)</f>
        <v>0</v>
      </c>
      <c r="AQ42" s="8">
        <f>(BDER!H291+BDER!H313+BDER!F335+BDER!H357+BDER!H379+BDER!H401)/1000</f>
        <v>119652.00849</v>
      </c>
      <c r="AR42" s="42">
        <f>IF(AQ$41=0,"N.D.",AQ42/AQ$41)</f>
        <v>0.73645796394775</v>
      </c>
      <c r="AS42" s="8">
        <f>(BDER!H423+BDER!H445)/1000</f>
        <v>1064.98981</v>
      </c>
      <c r="AT42" s="42">
        <f>IF(AS$41=0,"N.D.",AS42/AS$41)</f>
        <v>0.81298306064501</v>
      </c>
      <c r="AU42" s="11">
        <f>+AQ42+AK42+AI42+AS42+AM42+AO42</f>
        <v>162180.72205854</v>
      </c>
      <c r="AV42" s="42">
        <f>IF(AU$41=0,"N.D.",AU42/AU$41)</f>
        <v>0.64169347445321</v>
      </c>
      <c r="AW42" s="25"/>
      <c r="AX42" s="7" t="s">
        <v>27</v>
      </c>
      <c r="AY42" s="11">
        <f>O42</f>
        <v>172756.56558884</v>
      </c>
      <c r="AZ42" s="12">
        <f>IF(AY$41=0,"N.D.",AY42/AY$41)</f>
        <v>0.64659986757064</v>
      </c>
      <c r="BA42" s="11">
        <f>AE42</f>
        <v>109604.515896</v>
      </c>
      <c r="BB42" s="12">
        <f>IF(BA$41=0,"N.D.",BA42/BA$41)</f>
        <v>0.60283691486145</v>
      </c>
      <c r="BC42" s="11">
        <f>AU42</f>
        <v>162180.72205854</v>
      </c>
      <c r="BD42" s="12">
        <f>IF(BC$41=0,"N.D.",BC42/BC$41)</f>
        <v>0.64169347445321</v>
      </c>
      <c r="BE42" s="11">
        <f>+AY42-BA42</f>
        <v>63152.04969284</v>
      </c>
      <c r="BF42" s="13">
        <f>IF(BA42=0,"N.D.",AY42/BA42-1)</f>
        <v>0.57618109232619</v>
      </c>
      <c r="BG42" s="11">
        <f>AY42-BC42</f>
        <v>10575.843530304</v>
      </c>
      <c r="BH42" s="13">
        <f>IF(BC42=0, "N.D.",AY42/BC42-1)</f>
        <v>0.06521023828274</v>
      </c>
    </row>
    <row r="43" spans="1:60">
      <c r="B43" s="4" t="s">
        <v>28</v>
      </c>
      <c r="C43" s="20"/>
      <c r="D43" s="35" t="str">
        <f>IF(C$41=0,"N.D.",C43/C$41)</f>
        <v>0</v>
      </c>
      <c r="E43" s="20">
        <f>+E41-E42</f>
        <v>25931.54628</v>
      </c>
      <c r="F43" s="35">
        <f>IF(E$41=0,"N.D.",E43/E$41)</f>
        <v>0.48658677540229</v>
      </c>
      <c r="G43" s="20">
        <f>+G41-G42</f>
        <v>22308.762987504</v>
      </c>
      <c r="H43" s="35">
        <f>IF(G$41=0,"N.D.",G43/G$41)</f>
        <v>0.69984205524348</v>
      </c>
      <c r="I43" s="20">
        <f>+I41-I42</f>
        <v>2085.131576448</v>
      </c>
      <c r="J43" s="35">
        <f>IF(I$41=0,"N.D.",I43/I$41)</f>
        <v>1</v>
      </c>
      <c r="K43" s="20">
        <f>+K41-K42</f>
        <v>40564.142695</v>
      </c>
      <c r="L43" s="35">
        <f>IF(K$41=0,"N.D.",K43/K$41)</f>
        <v>0.23513361700165</v>
      </c>
      <c r="M43" s="191">
        <f>+M41-M42</f>
        <v>3530.77783</v>
      </c>
      <c r="N43" s="35">
        <f>IF(M$41=0,"N.D.",M43/M$41)</f>
        <v>0.47668703202886</v>
      </c>
      <c r="O43" s="192">
        <f>+O41-O42</f>
        <v>94420.361368952</v>
      </c>
      <c r="P43" s="35">
        <f>IF(O$41=0,"N.D.",O43/O$41)</f>
        <v>0.35340013242936</v>
      </c>
      <c r="R43" s="4" t="s">
        <v>28</v>
      </c>
      <c r="S43" s="14"/>
      <c r="T43" s="43" t="str">
        <f>IF(S$41=0,"N.D.",S43/S$41)</f>
        <v>0</v>
      </c>
      <c r="U43" s="14">
        <f>+U41-U42</f>
        <v>0</v>
      </c>
      <c r="V43" s="43" t="str">
        <f>IF(U$41=0,"N.D.",U43/U$41)</f>
        <v>N.D.</v>
      </c>
      <c r="W43" s="14">
        <f>+W41-W42</f>
        <v>19467.1992168</v>
      </c>
      <c r="X43" s="43">
        <f>IF(W$41=0,"N.D.",W43/W$41)</f>
        <v>0.68725389326134</v>
      </c>
      <c r="Y43" s="14">
        <f>+Y41-Y42</f>
        <v>2100.8511</v>
      </c>
      <c r="Z43" s="43">
        <f>IF(Y$41=0,"N.D.",Y43/Y$41)</f>
        <v>1</v>
      </c>
      <c r="AA43" s="14">
        <f>+AA41-AA42</f>
        <v>46907.144</v>
      </c>
      <c r="AB43" s="43">
        <f>IF(AA$41=0,"N.D.",AA43/AA$41)</f>
        <v>0.33477612954391</v>
      </c>
      <c r="AC43" s="14">
        <f>+AC41-AC42</f>
        <v>3734.829</v>
      </c>
      <c r="AD43" s="43">
        <f>IF(AC$41=0,"N.D.",AC43/AC$41)</f>
        <v>0.33131739424104</v>
      </c>
      <c r="AE43" s="14">
        <f>+AA43+U43+S43+AC43+W43+Y43</f>
        <v>72210.0233168</v>
      </c>
      <c r="AF43" s="43">
        <f>IF(AE$41=0,"N.D.",AE43/AE$41)</f>
        <v>0.39716308513855</v>
      </c>
      <c r="AH43" s="4" t="s">
        <v>28</v>
      </c>
      <c r="AI43" s="14"/>
      <c r="AJ43" s="43" t="str">
        <f>IF(AI$41=0,"N.D.",AI43/AI$41)</f>
        <v>0</v>
      </c>
      <c r="AK43" s="14">
        <f>+AK41-AK42</f>
        <v>26521.76254</v>
      </c>
      <c r="AL43" s="43">
        <f>IF(AK$41=0,"N.D.",AK43/AK$41)</f>
        <v>0.44912964656232</v>
      </c>
      <c r="AM43" s="14">
        <f>+AM41-AM42</f>
        <v>18308.948583816</v>
      </c>
      <c r="AN43" s="43">
        <f>IF(AM$41=0,"N.D.",AM43/AM$41)</f>
        <v>0.67206134537083</v>
      </c>
      <c r="AO43" s="14">
        <f>+AO41-AO42</f>
        <v>2664.635804568</v>
      </c>
      <c r="AP43" s="43">
        <f>IF(AO$41=0,"N.D.",AO43/AO$41)</f>
        <v>1</v>
      </c>
      <c r="AQ43" s="14">
        <f>+AQ41-AQ42</f>
        <v>42817.56119</v>
      </c>
      <c r="AR43" s="43">
        <f>IF(AQ$41=0,"N.D.",AQ43/AQ$41)</f>
        <v>0.26354203605225</v>
      </c>
      <c r="AS43" s="14">
        <f>+AS41-AS42</f>
        <v>244.98805</v>
      </c>
      <c r="AT43" s="43">
        <f>IF(AS$41=0,"N.D.",AS43/AS$41)</f>
        <v>0.18701693935499</v>
      </c>
      <c r="AU43" s="14">
        <f>+AQ43+AK43+AI43+AS43+AM43+AO43</f>
        <v>90557.896168384</v>
      </c>
      <c r="AV43" s="43">
        <f>IF(AU$41=0,"N.D.",AU43/AU$41)</f>
        <v>0.35830652554679</v>
      </c>
      <c r="AW43" s="25"/>
      <c r="AX43" s="4" t="s">
        <v>28</v>
      </c>
      <c r="AY43" s="14">
        <f>O43</f>
        <v>94420.361368952</v>
      </c>
      <c r="AZ43" s="15">
        <f>IF(AY$41=0,"N.D.",AY43/AY$41)</f>
        <v>0.35340013242936</v>
      </c>
      <c r="BA43" s="14">
        <f>AE43</f>
        <v>72210.0233168</v>
      </c>
      <c r="BB43" s="15">
        <f>IF(BA$41=0,"N.D.",BA43/BA$41)</f>
        <v>0.39716308513855</v>
      </c>
      <c r="BC43" s="14">
        <f>AU43</f>
        <v>90557.896168384</v>
      </c>
      <c r="BD43" s="15">
        <f>IF(BC$41=0,"N.D.",BC43/BC$41)</f>
        <v>0.35830652554679</v>
      </c>
      <c r="BE43" s="14">
        <f>+AY43-BA43</f>
        <v>22210.338052152</v>
      </c>
      <c r="BF43" s="16">
        <f>IF(BA43=0,"N.D.",AY43/BA43-1)</f>
        <v>0.30757971029466</v>
      </c>
      <c r="BG43" s="14">
        <f>AY43-BC43</f>
        <v>3862.465200568</v>
      </c>
      <c r="BH43" s="16">
        <f>IF(BC43=0, "N.D.",AY43/BC43-1)</f>
        <v>0.042651887510573</v>
      </c>
    </row>
    <row r="44" spans="1:60">
      <c r="B44" s="1"/>
      <c r="C44" s="30"/>
      <c r="D44" s="18"/>
      <c r="E44" s="30"/>
      <c r="F44" s="18"/>
      <c r="G44" s="30"/>
      <c r="H44" s="18"/>
      <c r="I44" s="30"/>
      <c r="J44" s="18"/>
      <c r="K44" s="30"/>
      <c r="L44" s="18"/>
      <c r="M44" s="30"/>
      <c r="N44" s="18"/>
      <c r="O44" s="30"/>
      <c r="P44" s="18"/>
      <c r="R44" s="1"/>
      <c r="S44" s="30"/>
      <c r="T44" s="44"/>
      <c r="U44" s="30"/>
      <c r="V44" s="44"/>
      <c r="W44" s="30"/>
      <c r="X44" s="44"/>
      <c r="Y44" s="30"/>
      <c r="Z44" s="44"/>
      <c r="AA44" s="30"/>
      <c r="AB44" s="44"/>
      <c r="AC44" s="30"/>
      <c r="AD44" s="44"/>
      <c r="AE44" s="30"/>
      <c r="AF44" s="44"/>
      <c r="AH44" s="1"/>
      <c r="AI44" s="30"/>
      <c r="AJ44" s="44"/>
      <c r="AK44" s="30"/>
      <c r="AL44" s="44"/>
      <c r="AM44" s="30"/>
      <c r="AN44" s="44"/>
      <c r="AO44" s="30"/>
      <c r="AP44" s="44"/>
      <c r="AQ44" s="30"/>
      <c r="AR44" s="44"/>
      <c r="AS44" s="30"/>
      <c r="AT44" s="44"/>
      <c r="AU44" s="30"/>
      <c r="AV44" s="44"/>
      <c r="AW44" s="25"/>
      <c r="AX44" s="1"/>
      <c r="AY44" s="17"/>
      <c r="AZ44" s="18"/>
      <c r="BA44" s="17"/>
      <c r="BB44" s="18"/>
      <c r="BC44" s="17"/>
      <c r="BD44" s="18"/>
      <c r="BE44" s="17"/>
      <c r="BF44" s="19"/>
      <c r="BG44" s="17"/>
      <c r="BH44" s="19"/>
    </row>
    <row r="45" spans="1:60">
      <c r="B45" s="7" t="s">
        <v>29</v>
      </c>
      <c r="C45" s="194"/>
      <c r="D45" s="29" t="str">
        <f>IF(C$41=0,"N.D.",C45/C$41)</f>
        <v>0</v>
      </c>
      <c r="E45" s="8">
        <f>TablasERxDiv!AA36</f>
        <v>12855.634</v>
      </c>
      <c r="F45" s="29">
        <f>IF(E$41=0,"N.D.",E45/E$41)</f>
        <v>0.24122670612344</v>
      </c>
      <c r="G45" s="195">
        <f>'mxn-dll'!N9</f>
        <v>19435.020953256</v>
      </c>
      <c r="H45" s="29">
        <f>IF(G$41=0,"N.D.",G45/G$41)</f>
        <v>0.60969068590874</v>
      </c>
      <c r="I45" s="195">
        <f>'mxn-dll'!AC9</f>
        <v>437.31276048</v>
      </c>
      <c r="J45" s="29">
        <f>IF(I$41=0,"N.D.",I45/I$41)</f>
        <v>0.20972909595708</v>
      </c>
      <c r="K45" s="195">
        <f>TablasERxDiv!AT36</f>
        <v>21332.510435</v>
      </c>
      <c r="L45" s="29">
        <f>IF(K$41=0,"N.D.",K45/K$41)</f>
        <v>0.12365577096062</v>
      </c>
      <c r="M45" s="195">
        <f>TablasERxDiv!BC36</f>
        <v>48.372</v>
      </c>
      <c r="N45" s="29">
        <f>IF(M$41=0,"N.D.",M45/M$41)</f>
        <v>0.0065306587453281</v>
      </c>
      <c r="O45" s="195">
        <f>K45+E45+C45+M45+G45+I45</f>
        <v>54108.850148736</v>
      </c>
      <c r="P45" s="29">
        <f>IF(O$41=0,"N.D.",O45/O$41)</f>
        <v>0.2025206695984</v>
      </c>
      <c r="R45" s="7" t="s">
        <v>29</v>
      </c>
      <c r="S45" s="8"/>
      <c r="T45" s="29" t="str">
        <f>IF(S$41=0,"N.D.",S45/S$41)</f>
        <v>0</v>
      </c>
      <c r="U45" s="8">
        <f>(BDER!L7+BDER!L29+BDER!L51+BDER!L73+BDER!L95+BDER!L117)/1000</f>
        <v>0</v>
      </c>
      <c r="V45" s="29" t="str">
        <f>IF(U$41=0,"N.D.",U45/U$41)</f>
        <v>N.D.</v>
      </c>
      <c r="W45" s="8">
        <f>(BDER!L470+BDER!L493+BDER!L560+BDER!L605)*TC_MES/1000</f>
        <v>18879.1227072</v>
      </c>
      <c r="X45" s="29">
        <f>IF(W$41=0,"N.D.",W45/W$41)</f>
        <v>0.66649292676292</v>
      </c>
      <c r="Y45" s="8">
        <f>Y113*TC_MES</f>
        <v>671.46336</v>
      </c>
      <c r="Z45" s="29">
        <f>IF(Y$41=0,"N.D.",Y45/Y$41)</f>
        <v>0.31961492178099</v>
      </c>
      <c r="AA45" s="8">
        <f>(BDER!L293+BDER!L315+BDER!H337+BDER!L359+BDER!L381+BDER!L403)/1000</f>
        <v>19782.438</v>
      </c>
      <c r="AB45" s="29">
        <f>IF(AA$41=0,"N.D.",AA45/AA$41)</f>
        <v>0.14118719371579</v>
      </c>
      <c r="AC45" s="8">
        <f>(BDER!L425+BDER!L447)/1000</f>
        <v>286.677</v>
      </c>
      <c r="AD45" s="29">
        <f>IF(AC$41=0,"N.D.",AC45/AC$41)</f>
        <v>0.025431171448235</v>
      </c>
      <c r="AE45" s="8">
        <f>+AA45+U45+S45+AC45+W45+Y45</f>
        <v>39619.7010672</v>
      </c>
      <c r="AF45" s="29">
        <f>IF(AE$41=0,"N.D.",AE45/AE$41)</f>
        <v>0.21791272160489</v>
      </c>
      <c r="AH45" s="7" t="s">
        <v>29</v>
      </c>
      <c r="AI45" s="8"/>
      <c r="AJ45" s="29" t="str">
        <f>IF(AI$41=0,"N.D.",AI45/AI$41)</f>
        <v>0</v>
      </c>
      <c r="AK45" s="8">
        <f>(BDER!H7+BDER!H29+BDER!H51+BDER!H73+BDER!H95+BDER!H117)/1000</f>
        <v>14453.62267</v>
      </c>
      <c r="AL45" s="29">
        <f>IF(AK$41=0,"N.D.",AK45/AK$41)</f>
        <v>0.24476316125415</v>
      </c>
      <c r="AM45" s="8">
        <f>(BDER!H470+BDER!H493+BDER!H560+BDER!H605)*TC_MES/1000</f>
        <v>18563.403062304</v>
      </c>
      <c r="AN45" s="29">
        <f>IF(AM$41=0,"N.D.",AM45/AM$41)</f>
        <v>0.68140153322299</v>
      </c>
      <c r="AO45" s="8">
        <f>AO113*TC_MES</f>
        <v>1639.63565964</v>
      </c>
      <c r="AP45" s="29">
        <f>IF(AO$41=0,"N.D.",AO45/AO$41)</f>
        <v>0.61533199277333</v>
      </c>
      <c r="AQ45" s="8">
        <f>(BDER!H293+BDER!H315+BDER!F337+BDER!H359+BDER!H381+BDER!H403)/1000</f>
        <v>23174.01407</v>
      </c>
      <c r="AR45" s="29">
        <f>IF(AQ$41=0,"N.D.",AQ45/AQ$41)</f>
        <v>0.14263602787675</v>
      </c>
      <c r="AS45" s="8">
        <f>(BDER!H425+BDER!H447)/1000</f>
        <v>78.97938</v>
      </c>
      <c r="AT45" s="29">
        <f>IF(AS$41=0,"N.D.",AS45/AS$41)</f>
        <v>0.06029062201097</v>
      </c>
      <c r="AU45" s="8">
        <f>+AQ45+AK45+AI45+AS45+AM45+AO45</f>
        <v>57909.654841944</v>
      </c>
      <c r="AV45" s="29">
        <f>IF(AU$41=0,"N.D.",AU45/AU$41)</f>
        <v>0.22912863593307</v>
      </c>
      <c r="AW45" s="25"/>
      <c r="AX45" s="7" t="s">
        <v>29</v>
      </c>
      <c r="AY45" s="8">
        <f>O45</f>
        <v>54108.850148736</v>
      </c>
      <c r="AZ45" s="9">
        <f>IF(AY$41=0,"N.D.",AY45/AY$41)</f>
        <v>0.2025206695984</v>
      </c>
      <c r="BA45" s="8">
        <f>AE45</f>
        <v>39619.7010672</v>
      </c>
      <c r="BB45" s="9">
        <f>IF(BA$41=0,"N.D.",BA45/BA$41)</f>
        <v>0.21791272160489</v>
      </c>
      <c r="BC45" s="8">
        <f>AU45</f>
        <v>57909.654841944</v>
      </c>
      <c r="BD45" s="9">
        <f>IF(BC$41=0,"N.D.",BC45/BC$41)</f>
        <v>0.22912863593307</v>
      </c>
      <c r="BE45" s="8">
        <f>+AY45-BA45</f>
        <v>14489.149081536</v>
      </c>
      <c r="BF45" s="10">
        <f>IF(BA45=0,"N.D.",AY45/BA45-1)</f>
        <v>0.36570566388072</v>
      </c>
      <c r="BG45" s="8">
        <f>AY45-BC45</f>
        <v>-3800.804693208</v>
      </c>
      <c r="BH45" s="10">
        <f>IF(BC45=0, "N.D.",AY45/BC45-1)</f>
        <v>-0.065633350839022</v>
      </c>
    </row>
    <row r="46" spans="1:60">
      <c r="B46" s="7" t="s">
        <v>30</v>
      </c>
      <c r="C46" s="198"/>
      <c r="D46" s="42" t="str">
        <f>IF(C$41=0,"N.D.",C46/C$41)</f>
        <v>0</v>
      </c>
      <c r="E46" s="11">
        <f>TablasERxDiv!AA37-E52-E51</f>
        <v>5805.38222</v>
      </c>
      <c r="F46" s="42">
        <f>IF(E$41=0,"N.D.",E46/E$41)</f>
        <v>0.10893381304401</v>
      </c>
      <c r="G46" s="30">
        <f>'mxn-dll'!N10</f>
        <v>695.301725016</v>
      </c>
      <c r="H46" s="42">
        <f>IF(G$41=0,"N.D.",G46/G$41)</f>
        <v>0.021812118785882</v>
      </c>
      <c r="I46" s="30">
        <f>'mxn-dll'!AC10</f>
        <v>0.473058072</v>
      </c>
      <c r="J46" s="42">
        <f>IF(I$41=0,"N.D.",I46/I$41)</f>
        <v>0.00022687204843248</v>
      </c>
      <c r="K46" s="30">
        <f>TablasERxDiv!AT37-K52-K51</f>
        <v>7847.31909</v>
      </c>
      <c r="L46" s="42">
        <f>IF(K$41=0,"N.D.",K46/K$41)</f>
        <v>0.045487674552166</v>
      </c>
      <c r="M46" s="30">
        <f>TablasERxDiv!BC37-M52-M51</f>
        <v>581.4801</v>
      </c>
      <c r="N46" s="42">
        <f>IF(M$41=0,"N.D.",M46/M$41)</f>
        <v>0.078505087660201</v>
      </c>
      <c r="O46" s="30">
        <f>K46+E46+C46+M46+G46+I46</f>
        <v>14929.956193088</v>
      </c>
      <c r="P46" s="42">
        <f>IF(O$41=0,"N.D.",O46/O$41)</f>
        <v>0.055880409895749</v>
      </c>
      <c r="R46" s="7" t="s">
        <v>30</v>
      </c>
      <c r="S46" s="8"/>
      <c r="T46" s="42" t="str">
        <f>IF(S$41=0,"N.D.",S46/S$41)</f>
        <v>0</v>
      </c>
      <c r="U46" s="8">
        <f>(BDER!L8+BDER!L30+BDER!L52+BDER!L74+BDER!L96+BDER!L118)/1000</f>
        <v>0</v>
      </c>
      <c r="V46" s="42" t="str">
        <f>IF(U$41=0,"N.D.",U46/U$41)</f>
        <v>N.D.</v>
      </c>
      <c r="W46" s="8">
        <f>(BDER!L471+BDER!L494+BDER!L561+BDER!L606)*TC_MES/1000</f>
        <v>1249.2049968</v>
      </c>
      <c r="X46" s="42">
        <f>IF(W$41=0,"N.D.",W46/W$41)</f>
        <v>0.044100899568102</v>
      </c>
      <c r="Y46" s="8">
        <f>Y114*TC_MES</f>
        <v>0</v>
      </c>
      <c r="Z46" s="42">
        <f>IF(Y$41=0,"N.D.",Y46/Y$41)</f>
        <v>0</v>
      </c>
      <c r="AA46" s="8">
        <f>(BDER!L294+BDER!L316+BDER!H338+BDER!L360+BDER!L382+BDER!L404)/1000</f>
        <v>6913.063</v>
      </c>
      <c r="AB46" s="42">
        <f>IF(AA$41=0,"N.D.",AA46/AA$41)</f>
        <v>0.049338507465584</v>
      </c>
      <c r="AC46" s="8">
        <f>(BDER!L426+BDER!L448)/1000</f>
        <v>563.61</v>
      </c>
      <c r="AD46" s="42">
        <f>IF(AC$41=0,"N.D.",AC46/AC$41)</f>
        <v>0.049997950794586</v>
      </c>
      <c r="AE46" s="11">
        <f>+AA46+U46+S46+AC46+W46+Y46</f>
        <v>8725.8779968</v>
      </c>
      <c r="AF46" s="42">
        <f>IF(AE$41=0,"N.D.",AE46/AE$41)</f>
        <v>0.0479932904958</v>
      </c>
      <c r="AH46" s="7" t="s">
        <v>30</v>
      </c>
      <c r="AI46" s="8"/>
      <c r="AJ46" s="42" t="str">
        <f>IF(AI$41=0,"N.D.",AI46/AI$41)</f>
        <v>0</v>
      </c>
      <c r="AK46" s="8">
        <f>(BDER!H8+BDER!H30+BDER!H52+BDER!H74+BDER!H96+BDER!H118)/1000</f>
        <v>8625.80038</v>
      </c>
      <c r="AL46" s="42">
        <f>IF(AK$41=0,"N.D.",AK46/AK$41)</f>
        <v>0.14607259491686</v>
      </c>
      <c r="AM46" s="8">
        <f>(BDER!H471+BDER!H494+BDER!H561+BDER!H606)*TC_MES/1000</f>
        <v>1153.21202856</v>
      </c>
      <c r="AN46" s="42">
        <f>IF(AM$41=0,"N.D.",AM46/AM$41)</f>
        <v>0.04233062449566</v>
      </c>
      <c r="AO46" s="8">
        <f>AO114*TC_MES</f>
        <v>1.205195832</v>
      </c>
      <c r="AP46" s="42">
        <f>IF(AO$41=0,"N.D.",AO46/AO$41)</f>
        <v>0.00045229289118383</v>
      </c>
      <c r="AQ46" s="8">
        <f>(BDER!H294+BDER!H316+BDER!F338+BDER!H360+BDER!H382+BDER!H404)/1000</f>
        <v>7275.28004</v>
      </c>
      <c r="AR46" s="42">
        <f>IF(AQ$41=0,"N.D.",AQ46/AQ$41)</f>
        <v>0.044779339628519</v>
      </c>
      <c r="AS46" s="8">
        <f>(BDER!H426+BDER!H448)/1000</f>
        <v>542.21614</v>
      </c>
      <c r="AT46" s="42">
        <f>IF(AS$41=0,"N.D.",AS46/AS$41)</f>
        <v>0.41391244581798</v>
      </c>
      <c r="AU46" s="11">
        <f>+AQ46+AK46+AI46+AS46+AM46+AO46</f>
        <v>17597.713784392</v>
      </c>
      <c r="AV46" s="42">
        <f>IF(AU$41=0,"N.D.",AU46/AU$41)</f>
        <v>0.069628115829105</v>
      </c>
      <c r="AW46" s="25"/>
      <c r="AX46" s="7" t="s">
        <v>30</v>
      </c>
      <c r="AY46" s="11">
        <f>O46+O51+O52</f>
        <v>14929.956193088</v>
      </c>
      <c r="AZ46" s="12">
        <f>IF(AY$41=0,"N.D.",AY46/AY$41)</f>
        <v>0.055880409895749</v>
      </c>
      <c r="BA46" s="11">
        <f>AE46</f>
        <v>8725.8779968</v>
      </c>
      <c r="BB46" s="12">
        <f>IF(BA$41=0,"N.D.",BA46/BA$41)</f>
        <v>0.0479932904958</v>
      </c>
      <c r="BC46" s="11">
        <f>AU46</f>
        <v>17597.713784392</v>
      </c>
      <c r="BD46" s="12">
        <f>IF(BC$41=0,"N.D.",BC46/BC$41)</f>
        <v>0.069628115829105</v>
      </c>
      <c r="BE46" s="11">
        <f>+AY46-BA46</f>
        <v>6204.078196288</v>
      </c>
      <c r="BF46" s="13">
        <f>IF(BA46=0,"N.D.",AY46/BA46-1)</f>
        <v>0.71099758655383</v>
      </c>
      <c r="BG46" s="11">
        <f>AY46-BC46</f>
        <v>-2667.757591304</v>
      </c>
      <c r="BH46" s="13">
        <f>IF(BC46=0, "N.D.",AY46/BC46-1)</f>
        <v>-0.15159682808741</v>
      </c>
    </row>
    <row r="47" spans="1:60">
      <c r="B47" s="7" t="s">
        <v>31</v>
      </c>
      <c r="C47" s="196"/>
      <c r="D47" s="193" t="str">
        <f>IF(C$41=0,"N.D.",C47/C$41)</f>
        <v>0</v>
      </c>
      <c r="E47" s="34">
        <f>TablasERxDiv!AA38</f>
        <v>910.51363</v>
      </c>
      <c r="F47" s="193">
        <f>IF(E$41=0,"N.D.",E47/E$41)</f>
        <v>0.017085132000911</v>
      </c>
      <c r="G47" s="197">
        <f>'mxn-dll'!N11</f>
        <v>376.417707912</v>
      </c>
      <c r="H47" s="193">
        <f>IF(G$41=0,"N.D.",G47/G$41)</f>
        <v>0.011808496171784</v>
      </c>
      <c r="I47" s="197">
        <f>'mxn-dll'!AC11</f>
        <v>609.258549384</v>
      </c>
      <c r="J47" s="193">
        <f>IF(I$41=0,"N.D.",I47/I$41)</f>
        <v>0.29219189631278</v>
      </c>
      <c r="K47" s="197">
        <f>TablasERxDiv!AT38</f>
        <v>1941.80396</v>
      </c>
      <c r="L47" s="193">
        <f>IF(K$41=0,"N.D.",K47/K$41)</f>
        <v>0.011255837256464</v>
      </c>
      <c r="M47" s="197">
        <f>TablasERxDiv!BC38</f>
        <v>31.92541</v>
      </c>
      <c r="N47" s="193">
        <f>IF(M$41=0,"N.D.",M47/M$41)</f>
        <v>0.0043102199209188</v>
      </c>
      <c r="O47" s="197">
        <f>K47+E47+C47+M47+G47+I47</f>
        <v>3869.919257296</v>
      </c>
      <c r="P47" s="193">
        <f>IF(O$41=0,"N.D.",O47/O$41)</f>
        <v>0.014484481505798</v>
      </c>
      <c r="R47" s="7" t="s">
        <v>31</v>
      </c>
      <c r="S47" s="8"/>
      <c r="T47" s="42" t="str">
        <f>IF(S$41=0,"N.D.",S47/S$41)</f>
        <v>0</v>
      </c>
      <c r="U47" s="8">
        <f>(BDER!L9+BDER!L31+BDER!L53+BDER!L75+BDER!L97+BDER!L119)/1000</f>
        <v>0</v>
      </c>
      <c r="V47" s="42" t="str">
        <f>IF(U$41=0,"N.D.",U47/U$41)</f>
        <v>N.D.</v>
      </c>
      <c r="W47" s="8">
        <f>(BDER!L472+BDER!L495+BDER!L562+BDER!L607)*TC_MES/1000</f>
        <v>268.8684912</v>
      </c>
      <c r="X47" s="42">
        <f>IF(W$41=0,"N.D.",W47/W$41)</f>
        <v>0.0094919107414814</v>
      </c>
      <c r="Y47" s="8">
        <f>Y115*TC_MES</f>
        <v>277.0393104</v>
      </c>
      <c r="Z47" s="42">
        <f>IF(Y$41=0,"N.D.",Y47/Y$41)</f>
        <v>0.13187003610108</v>
      </c>
      <c r="AA47" s="8">
        <f>(BDER!L295+BDER!L317+BDER!H339+BDER!L361+BDER!L383+BDER!L405)/1000</f>
        <v>2302.25</v>
      </c>
      <c r="AB47" s="42">
        <f>IF(AA$41=0,"N.D.",AA47/AA$41)</f>
        <v>0.016431150535246</v>
      </c>
      <c r="AC47" s="8">
        <f>(BDER!L427+BDER!L449)/1000</f>
        <v>33.756</v>
      </c>
      <c r="AD47" s="42">
        <f>IF(AC$41=0,"N.D.",AC47/AC$41)</f>
        <v>0.0029945012100957</v>
      </c>
      <c r="AE47" s="11">
        <f>+AA47+U47+S47+AC47+W47+Y47</f>
        <v>2881.9138016</v>
      </c>
      <c r="AF47" s="42">
        <f>IF(AE$41=0,"N.D.",AE47/AE$41)</f>
        <v>0.015850843469823</v>
      </c>
      <c r="AH47" s="7" t="s">
        <v>31</v>
      </c>
      <c r="AI47" s="8"/>
      <c r="AJ47" s="42" t="str">
        <f>IF(AI$41=0,"N.D.",AI47/AI$41)</f>
        <v>0</v>
      </c>
      <c r="AK47" s="8">
        <f>(BDER!H9+BDER!H31+BDER!H53+BDER!H75+BDER!H97+BDER!H119)/1000</f>
        <v>873.32461</v>
      </c>
      <c r="AL47" s="42">
        <f>IF(AK$41=0,"N.D.",AK47/AK$41)</f>
        <v>0.01478921217366</v>
      </c>
      <c r="AM47" s="8">
        <f>(BDER!H472+BDER!H495+BDER!H562+BDER!H607)*TC_MES/1000</f>
        <v>314.045031456</v>
      </c>
      <c r="AN47" s="42">
        <f>IF(AM$41=0,"N.D.",AM47/AM$41)</f>
        <v>0.011527561256789</v>
      </c>
      <c r="AO47" s="8">
        <f>AO115*TC_MES</f>
        <v>424.769541768</v>
      </c>
      <c r="AP47" s="42">
        <f>IF(AO$41=0,"N.D.",AO47/AO$41)</f>
        <v>0.15940998054586</v>
      </c>
      <c r="AQ47" s="8">
        <f>(BDER!H295+BDER!H317+BDER!F339+BDER!H361+BDER!H383+BDER!H405)/1000</f>
        <v>2631.6684</v>
      </c>
      <c r="AR47" s="42">
        <f>IF(AQ$41=0,"N.D.",AQ47/AQ$41)</f>
        <v>0.016197915740057</v>
      </c>
      <c r="AS47" s="8">
        <f>(BDER!H427+BDER!H449)/1000</f>
        <v>31.05358</v>
      </c>
      <c r="AT47" s="42">
        <f>IF(AS$41=0,"N.D.",AS47/AS$41)</f>
        <v>0.023705423540517</v>
      </c>
      <c r="AU47" s="11">
        <f>+AQ47+AK47+AI47+AS47+AM47+AO47</f>
        <v>4274.861163224</v>
      </c>
      <c r="AV47" s="42">
        <f>IF(AU$41=0,"N.D.",AU47/AU$41)</f>
        <v>0.016914158956847</v>
      </c>
      <c r="AW47" s="25"/>
      <c r="AX47" s="7" t="s">
        <v>31</v>
      </c>
      <c r="AY47" s="11">
        <f>O47</f>
        <v>3869.919257296</v>
      </c>
      <c r="AZ47" s="12">
        <f>IF(AY$41=0,"N.D.",AY47/AY$41)</f>
        <v>0.014484481505798</v>
      </c>
      <c r="BA47" s="11">
        <f>AE47</f>
        <v>2881.9138016</v>
      </c>
      <c r="BB47" s="12">
        <f>IF(BA$41=0,"N.D.",BA47/BA$41)</f>
        <v>0.015850843469823</v>
      </c>
      <c r="BC47" s="11">
        <f>AU47</f>
        <v>4274.861163224</v>
      </c>
      <c r="BD47" s="12">
        <f>IF(BC$41=0,"N.D.",BC47/BC$41)</f>
        <v>0.016914158956847</v>
      </c>
      <c r="BE47" s="11">
        <f>+AY47-BA47</f>
        <v>988.005455696</v>
      </c>
      <c r="BF47" s="13">
        <f>IF(BA47=0,"N.D.",AY47/BA47-1)</f>
        <v>0.34282963465024</v>
      </c>
      <c r="BG47" s="11">
        <f>AY47-BC47</f>
        <v>-404.941905928</v>
      </c>
      <c r="BH47" s="13">
        <f>IF(BC47=0, "N.D.",AY47/BC47-1)</f>
        <v>-0.094726329222492</v>
      </c>
    </row>
    <row r="48" spans="1:60">
      <c r="B48" s="4" t="s">
        <v>32</v>
      </c>
      <c r="C48" s="20"/>
      <c r="D48" s="35" t="str">
        <f>IF(C$41=0,"N.D.",C48/C$41)</f>
        <v>0</v>
      </c>
      <c r="E48" s="20">
        <f>+E45+E47+E46</f>
        <v>19571.52985</v>
      </c>
      <c r="F48" s="35">
        <f>IF(E$41=0,"N.D.",E48/E$41)</f>
        <v>0.36724565116836</v>
      </c>
      <c r="G48" s="20">
        <f>+G45+G47+G46</f>
        <v>20506.740386184</v>
      </c>
      <c r="H48" s="35">
        <f>IF(G$41=0,"N.D.",G48/G$41)</f>
        <v>0.6433113008664</v>
      </c>
      <c r="I48" s="20">
        <f>+I45+I47+I46</f>
        <v>1047.044367936</v>
      </c>
      <c r="J48" s="35">
        <f>IF(I$41=0,"N.D.",I48/I$41)</f>
        <v>0.50214786431829</v>
      </c>
      <c r="K48" s="20">
        <f>+K45+K47+K46</f>
        <v>31121.633485</v>
      </c>
      <c r="L48" s="35">
        <f>IF(K$41=0,"N.D.",K48/K$41)</f>
        <v>0.18039928276925</v>
      </c>
      <c r="M48" s="20">
        <f>+M45+M47+M46</f>
        <v>661.77751</v>
      </c>
      <c r="N48" s="35">
        <f>IF(M$41=0,"N.D.",M48/M$41)</f>
        <v>0.089345966326448</v>
      </c>
      <c r="O48" s="20">
        <f>+O45+O47+O46</f>
        <v>72908.72559912</v>
      </c>
      <c r="P48" s="35">
        <f>IF(O$41=0,"N.D.",O48/O$41)</f>
        <v>0.27288556099995</v>
      </c>
      <c r="R48" s="4" t="s">
        <v>32</v>
      </c>
      <c r="S48" s="14"/>
      <c r="T48" s="43" t="str">
        <f>IF(S$41=0,"N.D.",S48/S$41)</f>
        <v>0</v>
      </c>
      <c r="U48" s="14">
        <f>+U47+U46+U45</f>
        <v>0</v>
      </c>
      <c r="V48" s="43" t="str">
        <f>IF(U$41=0,"N.D.",U48/U$41)</f>
        <v>N.D.</v>
      </c>
      <c r="W48" s="14">
        <f>+W47+W46+W45</f>
        <v>20397.1961952</v>
      </c>
      <c r="X48" s="43">
        <f>IF(W$41=0,"N.D.",W48/W$41)</f>
        <v>0.7200857370725</v>
      </c>
      <c r="Y48" s="14">
        <f>+Y47+Y46+Y45</f>
        <v>948.5026704</v>
      </c>
      <c r="Z48" s="43">
        <f>IF(Y$41=0,"N.D.",Y48/Y$41)</f>
        <v>0.45148495788207</v>
      </c>
      <c r="AA48" s="14">
        <f>+AA47+AA46+AA45</f>
        <v>28997.751</v>
      </c>
      <c r="AB48" s="43">
        <f>IF(AA$41=0,"N.D.",AA48/AA$41)</f>
        <v>0.20695685171662</v>
      </c>
      <c r="AC48" s="14">
        <f>+AC47+AC46+AC45</f>
        <v>884.043</v>
      </c>
      <c r="AD48" s="43">
        <f>IF(AC$41=0,"N.D.",AC48/AC$41)</f>
        <v>0.078423623452916</v>
      </c>
      <c r="AE48" s="14">
        <f>+AA48+U48+S48+AC48+W48+Y48</f>
        <v>51227.4928656</v>
      </c>
      <c r="AF48" s="43">
        <f>IF(AE$41=0,"N.D.",AE48/AE$41)</f>
        <v>0.28175685557051</v>
      </c>
      <c r="AH48" s="4" t="s">
        <v>32</v>
      </c>
      <c r="AI48" s="14"/>
      <c r="AJ48" s="43" t="str">
        <f>IF(AI$41=0,"N.D.",AI48/AI$41)</f>
        <v>0</v>
      </c>
      <c r="AK48" s="14">
        <f>+AK47+AK46+AK45</f>
        <v>23952.74766</v>
      </c>
      <c r="AL48" s="43">
        <f>IF(AK$41=0,"N.D.",AK48/AK$41)</f>
        <v>0.40562496834467</v>
      </c>
      <c r="AM48" s="14">
        <f>+AM47+AM46+AM45</f>
        <v>20030.66012232</v>
      </c>
      <c r="AN48" s="43">
        <f>IF(AM$41=0,"N.D.",AM48/AM$41)</f>
        <v>0.73525971897544</v>
      </c>
      <c r="AO48" s="14">
        <f>+AO47+AO46+AO45</f>
        <v>2065.61039724</v>
      </c>
      <c r="AP48" s="43">
        <f>IF(AO$41=0,"N.D.",AO48/AO$41)</f>
        <v>0.77519426621038</v>
      </c>
      <c r="AQ48" s="14">
        <f>+AQ47+AQ46+AQ45</f>
        <v>33080.96251</v>
      </c>
      <c r="AR48" s="43">
        <f>IF(AQ$41=0,"N.D.",AQ48/AQ$41)</f>
        <v>0.20361328324533</v>
      </c>
      <c r="AS48" s="14">
        <f>+AS47+AS46+AS45</f>
        <v>652.2491</v>
      </c>
      <c r="AT48" s="43">
        <f>IF(AS$41=0,"N.D.",AS48/AS$41)</f>
        <v>0.49790849136946</v>
      </c>
      <c r="AU48" s="14">
        <f>+AQ48+AK48+AI48+AS48+AM48+AO48</f>
        <v>79782.22978956</v>
      </c>
      <c r="AV48" s="43">
        <f>IF(AU$41=0,"N.D.",AU48/AU$41)</f>
        <v>0.31567091071903</v>
      </c>
      <c r="AW48" s="25"/>
      <c r="AX48" s="4" t="s">
        <v>32</v>
      </c>
      <c r="AY48" s="14">
        <f>O48</f>
        <v>72908.72559912</v>
      </c>
      <c r="AZ48" s="15">
        <f>IF(AY$41=0,"N.D.",AY48/AY$41)</f>
        <v>0.27288556099995</v>
      </c>
      <c r="BA48" s="14">
        <f>AE48</f>
        <v>51227.4928656</v>
      </c>
      <c r="BB48" s="15">
        <f>IF(BA$41=0,"N.D.",BA48/BA$41)</f>
        <v>0.28175685557051</v>
      </c>
      <c r="BC48" s="14">
        <f>AU48</f>
        <v>79782.22978956</v>
      </c>
      <c r="BD48" s="15">
        <f>IF(BC$41=0,"N.D.",BC48/BC$41)</f>
        <v>0.31567091071903</v>
      </c>
      <c r="BE48" s="14">
        <f>+AY48-BA48</f>
        <v>21681.23273352</v>
      </c>
      <c r="BF48" s="16">
        <f>IF(BA48=0,"N.D.",AY48/BA48-1)</f>
        <v>0.42323431268445</v>
      </c>
      <c r="BG48" s="14">
        <f>AY48-BC48</f>
        <v>-6873.50419044</v>
      </c>
      <c r="BH48" s="16">
        <f>IF(BC48=0, "N.D.",AY48/BC48-1)</f>
        <v>-0.086153322720738</v>
      </c>
    </row>
    <row r="49" spans="1:60">
      <c r="B49" s="4"/>
      <c r="C49" s="31"/>
      <c r="D49" s="32"/>
      <c r="E49" s="31"/>
      <c r="F49" s="32"/>
      <c r="G49" s="31"/>
      <c r="H49" s="32"/>
      <c r="I49" s="31"/>
      <c r="J49" s="32"/>
      <c r="K49" s="31"/>
      <c r="L49" s="32"/>
      <c r="M49" s="31"/>
      <c r="N49" s="32"/>
      <c r="O49" s="31"/>
      <c r="P49" s="32"/>
      <c r="R49" s="4" t="s">
        <v>33</v>
      </c>
      <c r="S49" s="20"/>
      <c r="T49" s="45" t="str">
        <f>IF(S$41=0,"N.D.",S49/S$41)</f>
        <v>0</v>
      </c>
      <c r="U49" s="20">
        <f>+U43-U48</f>
        <v>0</v>
      </c>
      <c r="V49" s="45" t="str">
        <f>IF(U$41=0,"N.D.",U49/U$41)</f>
        <v>N.D.</v>
      </c>
      <c r="W49" s="20">
        <f>+W43-W48</f>
        <v>-929.9969784</v>
      </c>
      <c r="X49" s="45">
        <f>IF(W$41=0,"N.D.",W49/W$41)</f>
        <v>-0.032831843811158</v>
      </c>
      <c r="Y49" s="20">
        <f>+Y43-Y48</f>
        <v>1152.3484296</v>
      </c>
      <c r="Z49" s="45">
        <f>IF(Y$41=0,"N.D.",Y49/Y$41)</f>
        <v>0.54851504211793</v>
      </c>
      <c r="AA49" s="20">
        <f>+AA43-AA48</f>
        <v>17909.393</v>
      </c>
      <c r="AB49" s="45">
        <f>IF(AA$41=0,"N.D.",AA49/AA$41)</f>
        <v>0.12781927782729</v>
      </c>
      <c r="AC49" s="20">
        <f>+AC43-AC48</f>
        <v>2850.786</v>
      </c>
      <c r="AD49" s="45">
        <f>IF(AC$41=0,"N.D.",AC49/AC$41)</f>
        <v>0.25289377078812</v>
      </c>
      <c r="AE49" s="20">
        <f>+AA49+U49+S49+AC49+W49+Y49</f>
        <v>20982.5304512</v>
      </c>
      <c r="AF49" s="45">
        <f>IF(AE$41=0,"N.D.",AE49/AE$41)</f>
        <v>0.11540622956804</v>
      </c>
      <c r="AH49" s="4" t="s">
        <v>33</v>
      </c>
      <c r="AI49" s="20"/>
      <c r="AJ49" s="45" t="str">
        <f>IF(AI$41=0,"N.D.",AI49/AI$41)</f>
        <v>0</v>
      </c>
      <c r="AK49" s="20">
        <f>+AK43-AK48</f>
        <v>2569.01488</v>
      </c>
      <c r="AL49" s="45">
        <f>IF(AK$41=0,"N.D.",AK49/AK$41)</f>
        <v>0.043504678217655</v>
      </c>
      <c r="AM49" s="20">
        <f>+AM43-AM48</f>
        <v>-1721.711538504</v>
      </c>
      <c r="AN49" s="45">
        <f>IF(AM$41=0,"N.D.",AM49/AM$41)</f>
        <v>-0.063198373604604</v>
      </c>
      <c r="AO49" s="20">
        <f>+AO43-AO48</f>
        <v>599.025407328</v>
      </c>
      <c r="AP49" s="45">
        <f>IF(AO$41=0,"N.D.",AO49/AO$41)</f>
        <v>0.22480573378962</v>
      </c>
      <c r="AQ49" s="20">
        <f>+AQ43-AQ48</f>
        <v>9736.59868</v>
      </c>
      <c r="AR49" s="45">
        <f>IF(AQ$41=0,"N.D.",AQ49/AQ$41)</f>
        <v>0.059928752806924</v>
      </c>
      <c r="AS49" s="20">
        <f>+AS43-AS48</f>
        <v>-407.26105</v>
      </c>
      <c r="AT49" s="45">
        <f>IF(AS$41=0,"N.D.",AS49/AS$41)</f>
        <v>-0.31089155201447</v>
      </c>
      <c r="AU49" s="20">
        <f>+AQ49+AK49+AI49+AS49+AM49+AO49</f>
        <v>10775.666378824</v>
      </c>
      <c r="AV49" s="45">
        <f>IF(AU$41=0,"N.D.",AU49/AU$41)</f>
        <v>0.042635614827763</v>
      </c>
      <c r="AW49" s="25"/>
      <c r="AX49" s="4" t="s">
        <v>33</v>
      </c>
      <c r="AY49" s="20">
        <f>O53</f>
        <v>21511.635769832</v>
      </c>
      <c r="AZ49" s="15">
        <f>IF(AY$41=0,"N.D.",AY49/AY$41)</f>
        <v>0.080514571429405</v>
      </c>
      <c r="BA49" s="20">
        <f>AE49</f>
        <v>20982.5304512</v>
      </c>
      <c r="BB49" s="15">
        <f>IF(BA$41=0,"N.D.",BA49/BA$41)</f>
        <v>0.11540622956804</v>
      </c>
      <c r="BC49" s="20">
        <f>AU49</f>
        <v>10775.666378824</v>
      </c>
      <c r="BD49" s="15">
        <f>IF(BC$41=0,"N.D.",BC49/BC$41)</f>
        <v>0.042635614827763</v>
      </c>
      <c r="BE49" s="14">
        <f>+AY49-BA49</f>
        <v>529.10531863205</v>
      </c>
      <c r="BF49" s="16">
        <f>IF(BA49=0,"N.D.",AY49/BA49-1)</f>
        <v>0.025216468521879</v>
      </c>
      <c r="BG49" s="14">
        <f>AY49-BC49</f>
        <v>10735.969391008</v>
      </c>
      <c r="BH49" s="16">
        <f>IF(BC49=0, "N.D.",AY49/BC49-1)</f>
        <v>0.99631605263003</v>
      </c>
    </row>
    <row r="50" spans="1:60">
      <c r="B50" s="4" t="s">
        <v>34</v>
      </c>
      <c r="C50" s="20"/>
      <c r="D50" s="22" t="str">
        <f>IF(C$41=0,"N.D.",C50/C$41)</f>
        <v>0</v>
      </c>
      <c r="E50" s="20">
        <f>+E43-E48</f>
        <v>6360.01643</v>
      </c>
      <c r="F50" s="22">
        <f>IF(E$41=0,"N.D.",E50/E$41)</f>
        <v>0.11934112423393</v>
      </c>
      <c r="G50" s="20">
        <f>+G43-G48</f>
        <v>1802.02260132</v>
      </c>
      <c r="H50" s="22">
        <f>IF(G$41=0,"N.D.",G50/G$41)</f>
        <v>0.056530754377076</v>
      </c>
      <c r="I50" s="20">
        <f>+I43-I48</f>
        <v>1038.087208512</v>
      </c>
      <c r="J50" s="22">
        <f>IF(I$41=0,"N.D.",I50/I$41)</f>
        <v>0.49785213568171</v>
      </c>
      <c r="K50" s="20">
        <f>+K43-K48</f>
        <v>9442.50921</v>
      </c>
      <c r="L50" s="22">
        <f>IF(K$41=0,"N.D.",K50/K$41)</f>
        <v>0.054734334232394</v>
      </c>
      <c r="M50" s="20">
        <f>+M43-M48</f>
        <v>2869.00032</v>
      </c>
      <c r="N50" s="22">
        <f>IF(M$41=0,"N.D.",M50/M$41)</f>
        <v>0.38734106570241</v>
      </c>
      <c r="O50" s="20">
        <f>+O43-O48</f>
        <v>21511.635769832</v>
      </c>
      <c r="P50" s="22">
        <f>IF(O$41=0,"N.D.",O50/O$41)</f>
        <v>0.080514571429405</v>
      </c>
      <c r="R50" s="1"/>
      <c r="S50" s="30"/>
      <c r="T50" s="44"/>
      <c r="U50" s="30"/>
      <c r="V50" s="44"/>
      <c r="W50" s="30"/>
      <c r="X50" s="44"/>
      <c r="Y50" s="30"/>
      <c r="Z50" s="44"/>
      <c r="AA50" s="30"/>
      <c r="AB50" s="44"/>
      <c r="AC50" s="30"/>
      <c r="AD50" s="44"/>
      <c r="AE50" s="30"/>
      <c r="AF50" s="44"/>
      <c r="AH50" s="1"/>
      <c r="AI50" s="30"/>
      <c r="AJ50" s="44"/>
      <c r="AK50" s="30"/>
      <c r="AL50" s="44"/>
      <c r="AM50" s="30"/>
      <c r="AN50" s="44"/>
      <c r="AO50" s="30"/>
      <c r="AP50" s="44"/>
      <c r="AQ50" s="30"/>
      <c r="AR50" s="44"/>
      <c r="AS50" s="30"/>
      <c r="AT50" s="44"/>
      <c r="AU50" s="30"/>
      <c r="AV50" s="44"/>
      <c r="AW50" s="25"/>
      <c r="AX50" s="1"/>
      <c r="AY50" s="17"/>
      <c r="AZ50" s="18"/>
      <c r="BA50" s="17"/>
      <c r="BB50" s="18"/>
      <c r="BC50" s="17"/>
      <c r="BD50" s="18"/>
      <c r="BE50" s="17"/>
      <c r="BF50" s="19"/>
      <c r="BG50" s="17"/>
      <c r="BH50" s="19"/>
    </row>
    <row r="51" spans="1:60">
      <c r="B51" s="7" t="s">
        <v>35</v>
      </c>
      <c r="C51" s="8"/>
      <c r="D51" s="33" t="str">
        <f>IF(C$41=0,"N.D.",C51/C$41)</f>
        <v>0</v>
      </c>
      <c r="E51" s="8">
        <f>division!B12</f>
        <v>0</v>
      </c>
      <c r="F51" s="33">
        <f>IF(E$41=0,"N.D.",E51/E$41)</f>
        <v>0</v>
      </c>
      <c r="G51" s="8">
        <f>'mxn-dll'!N15</f>
        <v>0</v>
      </c>
      <c r="H51" s="33">
        <f>IF(G$41=0,"N.D.",G51/G$41)</f>
        <v>0</v>
      </c>
      <c r="I51" s="8">
        <f>'mxn-dll'!AC15</f>
        <v>0</v>
      </c>
      <c r="J51" s="33">
        <f>IF(I$41=0,"N.D.",I51/I$41)</f>
        <v>0</v>
      </c>
      <c r="K51" s="8">
        <f>division!E12</f>
        <v>0</v>
      </c>
      <c r="L51" s="33">
        <f>IF(K$41=0,"N.D.",K51/K$41)</f>
        <v>0</v>
      </c>
      <c r="M51" s="8">
        <f>division!F12</f>
        <v>0</v>
      </c>
      <c r="N51" s="33">
        <f>IF(M$41=0,"N.D.",M51/M$41)</f>
        <v>0</v>
      </c>
      <c r="O51" s="8">
        <f>+K51+E51+C51+M51+G51+I51</f>
        <v>0</v>
      </c>
      <c r="P51" s="33">
        <f>IF(O$41=0,"N.D.",O51/O$41)</f>
        <v>0</v>
      </c>
      <c r="R51" s="7" t="s">
        <v>36</v>
      </c>
      <c r="S51" s="8"/>
      <c r="T51" s="29" t="str">
        <f>IF(S$41=0,"N.D.",S51/S$41)</f>
        <v>0</v>
      </c>
      <c r="U51" s="8">
        <f>(BDER!L12+BDER!L34+BDER!L56+BDER!L78+BDER!L100+BDER!L122)/1000</f>
        <v>0</v>
      </c>
      <c r="V51" s="29" t="str">
        <f>IF(U$41=0,"N.D.",U51/U$41)</f>
        <v>N.D.</v>
      </c>
      <c r="W51" s="8">
        <f>(BDER!L475+BDER!L498+BDER!L565+BDER!L610)*TC_MES/1000</f>
        <v>0</v>
      </c>
      <c r="X51" s="29">
        <f>IF(W$41=0,"N.D.",W51/W$41)</f>
        <v>0</v>
      </c>
      <c r="Y51" s="8">
        <f>Y119*TC_MES</f>
        <v>0</v>
      </c>
      <c r="Z51" s="29">
        <f>IF(Y$41=0,"N.D.",Y51/Y$41)</f>
        <v>0</v>
      </c>
      <c r="AA51" s="8">
        <f>(BDER!L298+BDER!L320+BDER!H342+BDER!L364+BDER!L386+BDER!L408)/1000</f>
        <v>-2718.912</v>
      </c>
      <c r="AB51" s="29">
        <f>IF(AA$41=0,"N.D.",AA51/AA$41)</f>
        <v>-0.019404865833027</v>
      </c>
      <c r="AC51" s="8">
        <f>(BDER!L430+BDER!L452)/1000</f>
        <v>-87</v>
      </c>
      <c r="AD51" s="29">
        <f>IF(AC$41=0,"N.D.",AC51/AC$41)</f>
        <v>-0.007717786623958</v>
      </c>
      <c r="AE51" s="8">
        <f>+AA51+U51+S51+AC51+W51+Y51</f>
        <v>-2805.912</v>
      </c>
      <c r="AF51" s="29">
        <f>IF(AE$41=0,"N.D.",AE51/AE$41)</f>
        <v>-0.015432825186306</v>
      </c>
      <c r="AH51" s="7" t="s">
        <v>36</v>
      </c>
      <c r="AI51" s="8"/>
      <c r="AJ51" s="29" t="str">
        <f>IF(AI$41=0,"N.D.",AI51/AI$41)</f>
        <v>0</v>
      </c>
      <c r="AK51" s="8">
        <f>(BDER!H12+BDER!H34+BDER!H56+BDER!H78+BDER!H100+BDER!H122)/1000</f>
        <v>-97.55156</v>
      </c>
      <c r="AL51" s="29">
        <f>IF(AK$41=0,"N.D.",AK51/AK$41)</f>
        <v>-0.0016519753390569</v>
      </c>
      <c r="AM51" s="8">
        <f>(BDER!H475+BDER!H498+BDER!H565+BDER!H610)*TC_MES/1000</f>
        <v>0</v>
      </c>
      <c r="AN51" s="29">
        <f>IF(AM$41=0,"N.D.",AM51/AM$41)</f>
        <v>0</v>
      </c>
      <c r="AO51" s="8">
        <f>AO119*TC_MES</f>
        <v>0</v>
      </c>
      <c r="AP51" s="29">
        <f>IF(AO$41=0,"N.D.",AO51/AO$41)</f>
        <v>0</v>
      </c>
      <c r="AQ51" s="8">
        <f>(BDER!H298+BDER!H320+BDER!F342+BDER!H364+BDER!H386+BDER!H408)/1000</f>
        <v>-272.22036</v>
      </c>
      <c r="AR51" s="29">
        <f>IF(AQ$41=0,"N.D.",AQ51/AQ$41)</f>
        <v>-0.0016755159783839</v>
      </c>
      <c r="AS51" s="8">
        <f>(BDER!H430+BDER!H452)/1000</f>
        <v>33.77829</v>
      </c>
      <c r="AT51" s="29">
        <f>IF(AS$41=0,"N.D.",AS51/AS$41)</f>
        <v>0.025785389991248</v>
      </c>
      <c r="AU51" s="8">
        <f>+AQ51+AK51+AI51+AS51+AM51+AO51</f>
        <v>-335.99363</v>
      </c>
      <c r="AV51" s="29">
        <f>IF(AU$41=0,"N.D.",AU51/AU$41)</f>
        <v>-0.0013294115175479</v>
      </c>
      <c r="AW51" s="25"/>
      <c r="AX51" s="7" t="s">
        <v>36</v>
      </c>
      <c r="AY51" s="8">
        <f>O55</f>
        <v>938.27838</v>
      </c>
      <c r="AZ51" s="9">
        <f>IF(AY$41=0,"N.D.",AY51/AY$41)</f>
        <v>0.0035118241334823</v>
      </c>
      <c r="BA51" s="8">
        <f>AE51</f>
        <v>-2805.912</v>
      </c>
      <c r="BB51" s="9">
        <f>IF(BA$41=0,"N.D.",BA51/BA$41)</f>
        <v>-0.015432825186306</v>
      </c>
      <c r="BC51" s="8">
        <f>AU51</f>
        <v>-335.99363</v>
      </c>
      <c r="BD51" s="9">
        <f>IF(BC$41=0,"N.D.",BC51/BC$41)</f>
        <v>-0.0013294115175479</v>
      </c>
      <c r="BE51" s="8">
        <f>+AY51-BA51</f>
        <v>3744.19038</v>
      </c>
      <c r="BF51" s="10">
        <f>IF(BA51=0,"N.D.",AY51/BA51-1)</f>
        <v>-1.3343933737052</v>
      </c>
      <c r="BG51" s="8">
        <f>AY51-BC51</f>
        <v>1274.27201</v>
      </c>
      <c r="BH51" s="10">
        <f>IF(BC51=0, "N.D.",AY51/BC51-1)</f>
        <v>-3.7925481206295</v>
      </c>
    </row>
    <row r="52" spans="1:60">
      <c r="B52" s="7" t="s">
        <v>37</v>
      </c>
      <c r="C52" s="34"/>
      <c r="D52" s="35" t="str">
        <f>IF(C$41=0,"N.D.",C52/C$41)</f>
        <v>0</v>
      </c>
      <c r="E52" s="34">
        <f>division!B13</f>
        <v>0</v>
      </c>
      <c r="F52" s="35">
        <f>IF(E$41=0,"N.D.",E52/E$41)</f>
        <v>0</v>
      </c>
      <c r="G52" s="34">
        <f>'mxn-dll'!N16</f>
        <v>0</v>
      </c>
      <c r="H52" s="35">
        <f>IF(G$41=0,"N.D.",G52/G$41)</f>
        <v>0</v>
      </c>
      <c r="I52" s="34">
        <f>'mxn-dll'!AC16</f>
        <v>0</v>
      </c>
      <c r="J52" s="35">
        <f>IF(I$41=0,"N.D.",I52/I$41)</f>
        <v>0</v>
      </c>
      <c r="K52" s="34">
        <f>division!E13</f>
        <v>0</v>
      </c>
      <c r="L52" s="35">
        <f>IF(K$41=0,"N.D.",K52/K$41)</f>
        <v>0</v>
      </c>
      <c r="M52" s="34">
        <f>division!F13</f>
        <v>0</v>
      </c>
      <c r="N52" s="35">
        <f>IF(M$41=0,"N.D.",M52/M$41)</f>
        <v>0</v>
      </c>
      <c r="O52" s="34">
        <f>+K52+E52+C52+M52+G52+I52</f>
        <v>0</v>
      </c>
      <c r="P52" s="35">
        <f>IF(O$41=0,"N.D.",O52/O$41)</f>
        <v>0</v>
      </c>
      <c r="R52" s="7" t="s">
        <v>38</v>
      </c>
      <c r="S52" s="8"/>
      <c r="T52" s="42" t="str">
        <f>IF(S$41=0,"N.D.",S52/S$41)</f>
        <v>0</v>
      </c>
      <c r="U52" s="8">
        <f>(BDER!L13+BDER!L35+BDER!L57+BDER!L79+BDER!L101+BDER!L123)/1000</f>
        <v>0</v>
      </c>
      <c r="V52" s="42" t="str">
        <f>IF(U$41=0,"N.D.",U52/U$41)</f>
        <v>N.D.</v>
      </c>
      <c r="W52" s="8">
        <f>(BDER!L476+BDER!L499+BDER!L566+BDER!L611)*TC_MES/1000</f>
        <v>-211.146912</v>
      </c>
      <c r="X52" s="42">
        <f>IF(W$41=0,"N.D.",W52/W$41)</f>
        <v>-0.0074541558703976</v>
      </c>
      <c r="Y52" s="8">
        <f>Y120*TC_MES</f>
        <v>0</v>
      </c>
      <c r="Z52" s="42">
        <f>IF(Y$41=0,"N.D.",Y52/Y$41)</f>
        <v>0</v>
      </c>
      <c r="AA52" s="8">
        <f>(BDER!L299+BDER!L321+BDER!H343+BDER!L365+BDER!L387+BDER!L409)/1000</f>
        <v>0</v>
      </c>
      <c r="AB52" s="42">
        <f>IF(AA$41=0,"N.D.",AA52/AA$41)</f>
        <v>0</v>
      </c>
      <c r="AC52" s="8">
        <f>(BDER!L431+BDER!L453)/1000</f>
        <v>0</v>
      </c>
      <c r="AD52" s="42">
        <f>IF(AC$41=0,"N.D.",AC52/AC$41)</f>
        <v>0</v>
      </c>
      <c r="AE52" s="11">
        <f>+AA52+U52+S52+AC52+W52+Y52</f>
        <v>-211.146912</v>
      </c>
      <c r="AF52" s="42">
        <f>IF(AE$41=0,"N.D.",AE52/AE$41)</f>
        <v>-0.0011613312824937</v>
      </c>
      <c r="AH52" s="7" t="s">
        <v>38</v>
      </c>
      <c r="AI52" s="8"/>
      <c r="AJ52" s="42" t="str">
        <f>IF(AI$41=0,"N.D.",AI52/AI$41)</f>
        <v>0</v>
      </c>
      <c r="AK52" s="8">
        <f>(BDER!H13+BDER!H35+BDER!H57+BDER!H79+BDER!H101+BDER!H123)/1000</f>
        <v>-143.14764</v>
      </c>
      <c r="AL52" s="42">
        <f>IF(AK$41=0,"N.D.",AK52/AK$41)</f>
        <v>-0.0024241167555311</v>
      </c>
      <c r="AM52" s="8">
        <f>(BDER!H476+BDER!H499+BDER!H566+BDER!H611)*TC_MES/1000</f>
        <v>-183.37017168</v>
      </c>
      <c r="AN52" s="42">
        <f>IF(AM$41=0,"N.D.",AM52/AM$41)</f>
        <v>-0.0067309165087216</v>
      </c>
      <c r="AO52" s="8">
        <f>AO120*TC_MES</f>
        <v>63.538433928</v>
      </c>
      <c r="AP52" s="42">
        <f>IF(AO$41=0,"N.D.",AO52/AO$41)</f>
        <v>0.023845072493237</v>
      </c>
      <c r="AQ52" s="8">
        <f>(BDER!H299+BDER!H321+BDER!F343+BDER!H365+BDER!H387+BDER!H409)/1000</f>
        <v>-799.97715</v>
      </c>
      <c r="AR52" s="42">
        <f>IF(AQ$41=0,"N.D.",AQ52/AQ$41)</f>
        <v>-0.0049238583666814</v>
      </c>
      <c r="AS52" s="8">
        <f>(BDER!H431+BDER!H453)/1000</f>
        <v>-25.7185</v>
      </c>
      <c r="AT52" s="42">
        <f>IF(AS$41=0,"N.D.",AS52/AS$41)</f>
        <v>-0.019632774556968</v>
      </c>
      <c r="AU52" s="11">
        <f>+AQ52+AK52+AI52+AS52+AM52+AO52</f>
        <v>-1088.675027752</v>
      </c>
      <c r="AV52" s="42">
        <f>IF(AU$41=0,"N.D.",AU52/AU$41)</f>
        <v>-0.0043075135703027</v>
      </c>
      <c r="AW52" s="25"/>
      <c r="AX52" s="7" t="s">
        <v>38</v>
      </c>
      <c r="AY52" s="11">
        <f>O56</f>
        <v>-1829.830039096</v>
      </c>
      <c r="AZ52" s="12">
        <f>IF(AY$41=0,"N.D.",AY52/AY$41)</f>
        <v>-0.0068487577124692</v>
      </c>
      <c r="BA52" s="11">
        <f>AE52</f>
        <v>-211.146912</v>
      </c>
      <c r="BB52" s="12">
        <f>IF(BA$41=0,"N.D.",BA52/BA$41)</f>
        <v>-0.0011613312824937</v>
      </c>
      <c r="BC52" s="11">
        <f>AU52</f>
        <v>-1088.675027752</v>
      </c>
      <c r="BD52" s="12">
        <f>IF(BC$41=0,"N.D.",BC52/BC$41)</f>
        <v>-0.0043075135703027</v>
      </c>
      <c r="BE52" s="11">
        <f>+AY52-BA52</f>
        <v>-1618.683127096</v>
      </c>
      <c r="BF52" s="13">
        <f>IF(BA52=0,"N.D.",AY52/BA52-1)</f>
        <v>7.6661463422018</v>
      </c>
      <c r="BG52" s="11">
        <f>AY52-BC52</f>
        <v>-741.155011344</v>
      </c>
      <c r="BH52" s="13">
        <f>IF(BC52=0, "N.D.",AY52/BC52-1)</f>
        <v>0.68078626996194</v>
      </c>
    </row>
    <row r="53" spans="1:60">
      <c r="B53" s="4" t="s">
        <v>33</v>
      </c>
      <c r="C53" s="14"/>
      <c r="D53" s="22" t="str">
        <f>IF(C$41=0,"N.D.",C53/C$41)</f>
        <v>0</v>
      </c>
      <c r="E53" s="14">
        <f>+E50-E51-E52</f>
        <v>6360.01643</v>
      </c>
      <c r="F53" s="22">
        <f>IF(E$41=0,"N.D.",E53/E$41)</f>
        <v>0.11934112423393</v>
      </c>
      <c r="G53" s="14">
        <f>+G50-G51-G52</f>
        <v>1802.02260132</v>
      </c>
      <c r="H53" s="22">
        <f>IF(G$41=0,"N.D.",G53/G$41)</f>
        <v>0.056530754377076</v>
      </c>
      <c r="I53" s="14">
        <f>+I50-I51-I52</f>
        <v>1038.087208512</v>
      </c>
      <c r="J53" s="22">
        <f>IF(I$41=0,"N.D.",I53/I$41)</f>
        <v>0.49785213568171</v>
      </c>
      <c r="K53" s="14">
        <f>+K50-K51-K52</f>
        <v>9442.50921</v>
      </c>
      <c r="L53" s="22">
        <f>IF(K$41=0,"N.D.",K53/K$41)</f>
        <v>0.054734334232394</v>
      </c>
      <c r="M53" s="14">
        <f>+M50-M51-M52</f>
        <v>2869.00032</v>
      </c>
      <c r="N53" s="22">
        <f>IF(M$41=0,"N.D.",M53/M$41)</f>
        <v>0.38734106570241</v>
      </c>
      <c r="O53" s="14">
        <f>+O50-O51-O52</f>
        <v>21511.635769832</v>
      </c>
      <c r="P53" s="22">
        <f>IF(O$41=0,"N.D.",O53/O$41)</f>
        <v>0.080514571429405</v>
      </c>
      <c r="R53" s="7" t="s">
        <v>39</v>
      </c>
      <c r="S53" s="8"/>
      <c r="T53" s="42" t="str">
        <f>IF(S$41=0,"N.D.",S53/S$41)</f>
        <v>0</v>
      </c>
      <c r="U53" s="8">
        <f>(BDER!L14+BDER!L36+BDER!L58+BDER!L80+BDER!L102+BDER!L124)/1000</f>
        <v>0</v>
      </c>
      <c r="V53" s="42" t="str">
        <f>IF(U$41=0,"N.D.",U53/U$41)</f>
        <v>N.D.</v>
      </c>
      <c r="W53" s="8">
        <f>(BDER!L477+BDER!L500+BDER!L567+BDER!L612)*TC_MES/1000</f>
        <v>0</v>
      </c>
      <c r="X53" s="42">
        <f>IF(W$41=0,"N.D.",W53/W$41)</f>
        <v>0</v>
      </c>
      <c r="Y53" s="8">
        <f>Y121*TC_MES</f>
        <v>175.95576</v>
      </c>
      <c r="Z53" s="42">
        <f>IF(Y$41=0,"N.D.",Y53/Y$41)</f>
        <v>0.083754512635379</v>
      </c>
      <c r="AA53" s="8">
        <f>(BDER!L300+BDER!L322+BDER!H344+BDER!L366+BDER!L388+BDER!L410)/1000</f>
        <v>287.883</v>
      </c>
      <c r="AB53" s="42">
        <f>IF(AA$41=0,"N.D.",AA53/AA$41)</f>
        <v>0.0020546200063148</v>
      </c>
      <c r="AC53" s="8">
        <f>(BDER!L432+BDER!L454)/1000</f>
        <v>5</v>
      </c>
      <c r="AD53" s="42">
        <f>IF(AC$41=0,"N.D.",AC53/AC$41)</f>
        <v>0.00044355095539989</v>
      </c>
      <c r="AE53" s="11">
        <f>+AA53+U53+S53+AC53+W53+Y53</f>
        <v>468.83876</v>
      </c>
      <c r="AF53" s="42">
        <f>IF(AE$41=0,"N.D.",AE53/AE$41)</f>
        <v>0.0025786648418214</v>
      </c>
      <c r="AH53" s="7" t="s">
        <v>39</v>
      </c>
      <c r="AI53" s="8"/>
      <c r="AJ53" s="42" t="str">
        <f>IF(AI$41=0,"N.D.",AI53/AI$41)</f>
        <v>0</v>
      </c>
      <c r="AK53" s="8">
        <f>(BDER!H14+BDER!H36+BDER!H58+BDER!H80+BDER!H102+BDER!H124)/1000</f>
        <v>497.28535</v>
      </c>
      <c r="AL53" s="42">
        <f>IF(AK$41=0,"N.D.",AK53/AK$41)</f>
        <v>0.0084212198623403</v>
      </c>
      <c r="AM53" s="8">
        <f>(BDER!H477+BDER!H500+BDER!H567+BDER!H612)*TC_MES/1000</f>
        <v>172.568106</v>
      </c>
      <c r="AN53" s="42">
        <f>IF(AM$41=0,"N.D.",AM53/AM$41)</f>
        <v>0.0063344081696189</v>
      </c>
      <c r="AO53" s="8">
        <f>AO121*TC_MES</f>
        <v>814.729169016</v>
      </c>
      <c r="AP53" s="42">
        <f>IF(AO$41=0,"N.D.",AO53/AO$41)</f>
        <v>0.305756294207</v>
      </c>
      <c r="AQ53" s="8">
        <f>(BDER!H300+BDER!H322+BDER!F344+BDER!H366+BDER!H388+BDER!H410)/1000</f>
        <v>365.61816</v>
      </c>
      <c r="AR53" s="42">
        <f>IF(AQ$41=0,"N.D.",AQ53/AQ$41)</f>
        <v>0.0022503793216177</v>
      </c>
      <c r="AS53" s="8">
        <f>(BDER!H432+BDER!H454)/1000</f>
        <v>3.42216</v>
      </c>
      <c r="AT53" s="42">
        <f>IF(AS$41=0,"N.D.",AS53/AS$41)</f>
        <v>0.0026123800290793</v>
      </c>
      <c r="AU53" s="11">
        <f>+AQ53+AK53+AI53+AS53+AM53+AO53</f>
        <v>1853.622945016</v>
      </c>
      <c r="AV53" s="42">
        <f>IF(AU$41=0,"N.D.",AU53/AU$41)</f>
        <v>0.007334150032235</v>
      </c>
      <c r="AW53" s="25"/>
      <c r="AX53" s="7" t="s">
        <v>39</v>
      </c>
      <c r="AY53" s="11">
        <f>O57</f>
        <v>1359.145836992</v>
      </c>
      <c r="AZ53" s="12">
        <f>IF(AY$41=0,"N.D.",AY53/AY$41)</f>
        <v>0.0050870629154542</v>
      </c>
      <c r="BA53" s="11">
        <f>AE53</f>
        <v>468.83876</v>
      </c>
      <c r="BB53" s="12">
        <f>IF(BA$41=0,"N.D.",BA53/BA$41)</f>
        <v>0.0025786648418214</v>
      </c>
      <c r="BC53" s="11">
        <f>AU53</f>
        <v>1853.622945016</v>
      </c>
      <c r="BD53" s="12">
        <f>IF(BC$41=0,"N.D.",BC53/BC$41)</f>
        <v>0.007334150032235</v>
      </c>
      <c r="BE53" s="11">
        <f>+AY53-BA53</f>
        <v>890.307076992</v>
      </c>
      <c r="BF53" s="13">
        <f>IF(BA53=0,"N.D.",AY53/BA53-1)</f>
        <v>1.8989621868977</v>
      </c>
      <c r="BG53" s="11">
        <f>AY53-BC53</f>
        <v>-494.477108024</v>
      </c>
      <c r="BH53" s="13">
        <f>IF(BC53=0, "N.D.",AY53/BC53-1)</f>
        <v>-0.2667625092544</v>
      </c>
    </row>
    <row r="54" spans="1:60">
      <c r="B54" s="1"/>
      <c r="C54" s="30"/>
      <c r="D54" s="18"/>
      <c r="E54" s="30"/>
      <c r="F54" s="18"/>
      <c r="G54" s="30"/>
      <c r="H54" s="18"/>
      <c r="I54" s="30"/>
      <c r="J54" s="18"/>
      <c r="K54" s="30"/>
      <c r="L54" s="18"/>
      <c r="M54" s="30"/>
      <c r="N54" s="18"/>
      <c r="O54" s="30"/>
      <c r="P54" s="18"/>
      <c r="R54" s="7" t="s">
        <v>40</v>
      </c>
      <c r="S54" s="8"/>
      <c r="T54" s="42" t="str">
        <f>IF(S$41=0,"N.D.",S54/S$41)</f>
        <v>0</v>
      </c>
      <c r="U54" s="8">
        <f>(BDER!L15+BDER!L37+BDER!L59+BDER!L81+BDER!L103+BDER!L125)/1000</f>
        <v>0</v>
      </c>
      <c r="V54" s="42" t="str">
        <f>IF(U$41=0,"N.D.",U54/U$41)</f>
        <v>N.D.</v>
      </c>
      <c r="W54" s="8">
        <f>(BDER!L478+BDER!L501+BDER!L568+BDER!L613)*TC_MES/1000</f>
        <v>0</v>
      </c>
      <c r="X54" s="42">
        <f>IF(W$41=0,"N.D.",W54/W$41)</f>
        <v>0</v>
      </c>
      <c r="Y54" s="8">
        <f>Y122*TC_MES</f>
        <v>0</v>
      </c>
      <c r="Z54" s="42">
        <f>IF(Y$41=0,"N.D.",Y54/Y$41)</f>
        <v>0</v>
      </c>
      <c r="AA54" s="8">
        <f>(BDER!L301+BDER!L323+BDER!H345+BDER!L367+BDER!L389+BDER!L411)/1000</f>
        <v>0</v>
      </c>
      <c r="AB54" s="42">
        <f>IF(AA$41=0,"N.D.",AA54/AA$41)</f>
        <v>0</v>
      </c>
      <c r="AC54" s="8">
        <f>(BDER!L433+BDER!L455)/1000</f>
        <v>495</v>
      </c>
      <c r="AD54" s="42">
        <f>IF(AC$41=0,"N.D.",AC54/AC$41)</f>
        <v>0.043911544584589</v>
      </c>
      <c r="AE54" s="11">
        <f>+AA54+U54+S54+AC54+W54+Y54</f>
        <v>495</v>
      </c>
      <c r="AF54" s="42">
        <f>IF(AE$41=0,"N.D.",AE54/AE$41)</f>
        <v>0.0027225545445551</v>
      </c>
      <c r="AH54" s="7" t="s">
        <v>40</v>
      </c>
      <c r="AI54" s="8"/>
      <c r="AJ54" s="42" t="str">
        <f>IF(AI$41=0,"N.D.",AI54/AI$41)</f>
        <v>0</v>
      </c>
      <c r="AK54" s="8">
        <f>(BDER!H15+BDER!H37+BDER!H59+BDER!H81+BDER!H103+BDER!H125)/1000</f>
        <v>42.80233</v>
      </c>
      <c r="AL54" s="42">
        <f>IF(AK$41=0,"N.D.",AK54/AK$41)</f>
        <v>0.00072483098798395</v>
      </c>
      <c r="AM54" s="8">
        <f>(BDER!H478+BDER!H501+BDER!H568+BDER!H613)*TC_MES/1000</f>
        <v>0</v>
      </c>
      <c r="AN54" s="42">
        <f>IF(AM$41=0,"N.D.",AM54/AM$41)</f>
        <v>0</v>
      </c>
      <c r="AO54" s="8">
        <f>AO122*TC_MES</f>
        <v>0</v>
      </c>
      <c r="AP54" s="42">
        <f>IF(AO$41=0,"N.D.",AO54/AO$41)</f>
        <v>0</v>
      </c>
      <c r="AQ54" s="8">
        <f>(BDER!H301+BDER!H323+BDER!F345+BDER!H367+BDER!H389+BDER!H411)/1000</f>
        <v>0.03214</v>
      </c>
      <c r="AR54" s="42">
        <f>IF(AQ$41=0,"N.D.",AQ54/AQ$41)</f>
        <v>1.9782166016259E-7</v>
      </c>
      <c r="AS54" s="8">
        <f>(BDER!H433+BDER!H455)/1000</f>
        <v>493.88646</v>
      </c>
      <c r="AT54" s="42">
        <f>IF(AS$41=0,"N.D.",AS54/AS$41)</f>
        <v>0.37701893679333</v>
      </c>
      <c r="AU54" s="11">
        <f>+AQ54+AK54+AI54+AS54+AM54+AO54</f>
        <v>536.72093</v>
      </c>
      <c r="AV54" s="42">
        <f>IF(AU$41=0,"N.D.",AU54/AU$41)</f>
        <v>0.0021236205759347</v>
      </c>
      <c r="AW54" s="25"/>
      <c r="AX54" s="7" t="s">
        <v>40</v>
      </c>
      <c r="AY54" s="11">
        <f>O58</f>
        <v>469.550985</v>
      </c>
      <c r="AZ54" s="12">
        <f>IF(AY$41=0,"N.D.",AY54/AY$41)</f>
        <v>0.0017574533487848</v>
      </c>
      <c r="BA54" s="11">
        <f>AE54</f>
        <v>495</v>
      </c>
      <c r="BB54" s="12">
        <f>IF(BA$41=0,"N.D.",BA54/BA$41)</f>
        <v>0.0027225545445551</v>
      </c>
      <c r="BC54" s="11">
        <f>AU54</f>
        <v>536.72093</v>
      </c>
      <c r="BD54" s="12">
        <f>IF(BC$41=0,"N.D.",BC54/BC$41)</f>
        <v>0.0021236205759347</v>
      </c>
      <c r="BE54" s="11">
        <f>+AY54-BA54</f>
        <v>-25.449015</v>
      </c>
      <c r="BF54" s="13">
        <f>IF(BA54=0,"N.D.",AY54/BA54-1)</f>
        <v>-0.051412151515151</v>
      </c>
      <c r="BG54" s="11">
        <f>AY54-BC54</f>
        <v>-67.169945</v>
      </c>
      <c r="BH54" s="13">
        <f>IF(BC54=0, "N.D.",AY54/BC54-1)</f>
        <v>-0.12514873418482</v>
      </c>
    </row>
    <row r="55" spans="1:60">
      <c r="B55" s="7" t="s">
        <v>36</v>
      </c>
      <c r="C55" s="8"/>
      <c r="D55" s="141" t="str">
        <f>IF(C$41=0,"N.D.",C55/C$41)</f>
        <v>0</v>
      </c>
      <c r="E55" s="8">
        <f>TablasERxDiv!AA42</f>
        <v>166.32413</v>
      </c>
      <c r="F55" s="141">
        <f>IF(E$41=0,"N.D.",E55/E$41)</f>
        <v>0.0031209524188964</v>
      </c>
      <c r="G55" s="8">
        <f>'mxn-dll'!N19</f>
        <v>0</v>
      </c>
      <c r="H55" s="141">
        <f>IF(G$41=0,"N.D.",G55/G$41)</f>
        <v>0</v>
      </c>
      <c r="I55" s="8">
        <f>'mxn-dll'!AC19</f>
        <v>0</v>
      </c>
      <c r="J55" s="141">
        <f>IF(I$41=0,"N.D.",I55/I$41)</f>
        <v>0</v>
      </c>
      <c r="K55" s="8">
        <f>TablasERxDiv!AT42</f>
        <v>754.73523</v>
      </c>
      <c r="L55" s="141">
        <f>IF(K$41=0,"N.D.",K55/K$41)</f>
        <v>0.0043748890699555</v>
      </c>
      <c r="M55" s="8">
        <f>TablasERxDiv!BC42</f>
        <v>17.21902</v>
      </c>
      <c r="N55" s="141">
        <f>IF(M$41=0,"N.D.",M55/M$41)</f>
        <v>0.0023247238805296</v>
      </c>
      <c r="O55" s="8">
        <f>K55+E55+C55+M55+G55+I55</f>
        <v>938.27838</v>
      </c>
      <c r="P55" s="141">
        <f>IF(O$41=0,"N.D.",O55/O$41)</f>
        <v>0.0035118241334823</v>
      </c>
      <c r="R55" s="7"/>
      <c r="S55" s="8"/>
      <c r="T55" s="42" t="str">
        <f>IF(S$41=0,"N.D.",S55/S$41)</f>
        <v>0</v>
      </c>
      <c r="U55" s="8">
        <f>(BDER!L16+BDER!L38+BDER!L60+BDER!L82+BDER!L104+BDER!L126)/1000</f>
        <v>0</v>
      </c>
      <c r="V55" s="42" t="str">
        <f>IF(U$41=0,"N.D.",U55/U$41)</f>
        <v>N.D.</v>
      </c>
      <c r="W55" s="8">
        <f>(BDER!L479+BDER!L502+BDER!L569+BDER!L614)*TC_MES/1000</f>
        <v>0</v>
      </c>
      <c r="X55" s="42">
        <f>IF(W$41=0,"N.D.",W55/W$41)</f>
        <v>0</v>
      </c>
      <c r="Y55" s="8">
        <f>Y123*TC_MES</f>
        <v>0</v>
      </c>
      <c r="Z55" s="42">
        <f>IF(Y$41=0,"N.D.",Y55/Y$41)</f>
        <v>0</v>
      </c>
      <c r="AA55" s="8">
        <f>(BDER!L302+BDER!L324+BDER!H346+BDER!L368+BDER!L390+BDER!L412)/1000</f>
        <v>0</v>
      </c>
      <c r="AB55" s="42">
        <f>IF(AA$41=0,"N.D.",AA55/AA$41)</f>
        <v>0</v>
      </c>
      <c r="AC55" s="8">
        <f>(BDER!L434+BDER!L456)/1000</f>
        <v>0</v>
      </c>
      <c r="AD55" s="42">
        <f>IF(AC$41=0,"N.D.",AC55/AC$41)</f>
        <v>0</v>
      </c>
      <c r="AE55" s="11">
        <f>+AA55+U55+S55+AC55+W55+Y55</f>
        <v>0</v>
      </c>
      <c r="AF55" s="42">
        <f>IF(AE$41=0,"N.D.",AE55/AE$41)</f>
        <v>0</v>
      </c>
      <c r="AH55" s="7"/>
      <c r="AI55" s="8"/>
      <c r="AJ55" s="42" t="str">
        <f>IF(AI$41=0,"N.D.",AI55/AI$41)</f>
        <v>0</v>
      </c>
      <c r="AK55" s="8">
        <f>(BDER!H16+BDER!H38+BDER!H60+BDER!H82+BDER!H104+BDER!H126)/1000</f>
        <v>0</v>
      </c>
      <c r="AL55" s="42">
        <f>IF(AK$41=0,"N.D.",AK55/AK$41)</f>
        <v>0</v>
      </c>
      <c r="AM55" s="8">
        <f>(BDER!H479+BDER!H502+BDER!H569+BDER!H614)*TC_MES/1000</f>
        <v>0</v>
      </c>
      <c r="AN55" s="42">
        <f>IF(AM$41=0,"N.D.",AM55/AM$41)</f>
        <v>0</v>
      </c>
      <c r="AO55" s="8">
        <f>AO123*TC_MES</f>
        <v>0</v>
      </c>
      <c r="AP55" s="42">
        <f>IF(AO$41=0,"N.D.",AO55/AO$41)</f>
        <v>0</v>
      </c>
      <c r="AQ55" s="8">
        <f>(BDER!H302+BDER!H324+BDER!F346+BDER!H368+BDER!H390+BDER!H412)/1000</f>
        <v>0</v>
      </c>
      <c r="AR55" s="42">
        <f>IF(AQ$41=0,"N.D.",AQ55/AQ$41)</f>
        <v>0</v>
      </c>
      <c r="AS55" s="8">
        <f>(BDER!H434+BDER!H456)/1000</f>
        <v>0</v>
      </c>
      <c r="AT55" s="42">
        <f>IF(AS$41=0,"N.D.",AS55/AS$41)</f>
        <v>0</v>
      </c>
      <c r="AU55" s="11">
        <f>+AQ55+AK55+AI55+AS55+AM55+AO55</f>
        <v>0</v>
      </c>
      <c r="AV55" s="42">
        <f>IF(AU$41=0,"N.D.",AU55/AU$41)</f>
        <v>0</v>
      </c>
      <c r="AW55" s="25"/>
      <c r="AX55" s="7"/>
      <c r="AY55" s="11">
        <f>O59</f>
        <v>0</v>
      </c>
      <c r="AZ55" s="12">
        <f>IF(AY$41=0,"N.D.",AY55/AY$41)</f>
        <v>0</v>
      </c>
      <c r="BA55" s="11">
        <f>AE55</f>
        <v>0</v>
      </c>
      <c r="BB55" s="12">
        <f>IF(BA$41=0,"N.D.",BA55/BA$41)</f>
        <v>0</v>
      </c>
      <c r="BC55" s="11">
        <f>AU55</f>
        <v>0</v>
      </c>
      <c r="BD55" s="12">
        <f>IF(BC$41=0,"N.D.",BC55/BC$41)</f>
        <v>0</v>
      </c>
      <c r="BE55" s="11">
        <f>+AY55-BA55</f>
        <v>0</v>
      </c>
      <c r="BF55" s="13" t="str">
        <f>IF(BA55=0,"N.D.",AY55/BA55-1)</f>
        <v>N.D.</v>
      </c>
      <c r="BG55" s="11">
        <f>AY55-BC55</f>
        <v>0</v>
      </c>
      <c r="BH55" s="13" t="str">
        <f>IF(BC55=0, "N.D.",AY55/BC55-1)</f>
        <v>N.D.</v>
      </c>
    </row>
    <row r="56" spans="1:60">
      <c r="B56" s="7" t="s">
        <v>38</v>
      </c>
      <c r="C56" s="11"/>
      <c r="D56" s="138" t="str">
        <f>IF(C$41=0,"N.D.",C56/C$41)</f>
        <v>0</v>
      </c>
      <c r="E56" s="11">
        <f>TablasERxDiv!AA43</f>
        <v>-250.72368</v>
      </c>
      <c r="F56" s="138">
        <f>IF(E$41=0,"N.D.",E56/E$41)</f>
        <v>-0.0047046491424342</v>
      </c>
      <c r="G56" s="11">
        <f>'mxn-dll'!N20</f>
        <v>-204.943359096</v>
      </c>
      <c r="H56" s="138">
        <f>IF(G$41=0,"N.D.",G56/G$41)</f>
        <v>-0.0064292216345024</v>
      </c>
      <c r="I56" s="11">
        <f>'mxn-dll'!AC20</f>
        <v>0</v>
      </c>
      <c r="J56" s="138">
        <f>IF(I$41=0,"N.D.",I56/I$41)</f>
        <v>0</v>
      </c>
      <c r="K56" s="11">
        <f>TablasERxDiv!AT43</f>
        <v>-1365.88741</v>
      </c>
      <c r="L56" s="138">
        <f>IF(K$41=0,"N.D.",K56/K$41)</f>
        <v>-0.0079174863757172</v>
      </c>
      <c r="M56" s="11">
        <f>TablasERxDiv!BC43</f>
        <v>-8.27559</v>
      </c>
      <c r="N56" s="138">
        <f>IF(M$41=0,"N.D.",M56/M$41)</f>
        <v>-0.0011172797115325</v>
      </c>
      <c r="O56" s="11">
        <f>K56+E56-C56+M56+G56+I56</f>
        <v>-1829.830039096</v>
      </c>
      <c r="P56" s="138">
        <f>IF(O$41=0,"N.D.",O56/O$41)</f>
        <v>-0.0068487577124692</v>
      </c>
      <c r="R56" s="4" t="s">
        <v>41</v>
      </c>
      <c r="S56" s="14"/>
      <c r="T56" s="43" t="str">
        <f>IF(S$41=0,"N.D.",S56/S$41)</f>
        <v>0</v>
      </c>
      <c r="U56" s="14">
        <f>U51+U52+U53-U54-U55</f>
        <v>0</v>
      </c>
      <c r="V56" s="43" t="str">
        <f>IF(U$41=0,"N.D.",U56/U$41)</f>
        <v>N.D.</v>
      </c>
      <c r="W56" s="14">
        <f>W51+W52+W53-W54-W55</f>
        <v>-211.146912</v>
      </c>
      <c r="X56" s="43">
        <f>IF(W$41=0,"N.D.",W56/W$41)</f>
        <v>-0.0074541558703976</v>
      </c>
      <c r="Y56" s="14">
        <f>Y51+Y52+Y53-Y54-Y55</f>
        <v>175.95576</v>
      </c>
      <c r="Z56" s="43">
        <f>IF(Y$41=0,"N.D.",Y56/Y$41)</f>
        <v>0.083754512635379</v>
      </c>
      <c r="AA56" s="14">
        <f>AA51+AA52+AA53-AA54-AA55</f>
        <v>-2431.029</v>
      </c>
      <c r="AB56" s="43">
        <f>IF(AA$41=0,"N.D.",AA56/AA$41)</f>
        <v>-0.017350245826713</v>
      </c>
      <c r="AC56" s="14">
        <f>AC51+AC52+AC53-AC54-AC55</f>
        <v>-577</v>
      </c>
      <c r="AD56" s="43">
        <f>IF(AC$41=0,"N.D.",AC56/AC$41)</f>
        <v>-0.051185780253147</v>
      </c>
      <c r="AE56" s="14">
        <f>AE51+AE52+AE53-AE54-AE55</f>
        <v>-3043.220152</v>
      </c>
      <c r="AF56" s="43">
        <f>IF(AE$41=0,"N.D.",AE56/AE$41)</f>
        <v>-0.016738046171534</v>
      </c>
      <c r="AH56" s="4" t="s">
        <v>41</v>
      </c>
      <c r="AI56" s="14"/>
      <c r="AJ56" s="43" t="str">
        <f>IF(AI$41=0,"N.D.",AI56/AI$41)</f>
        <v>0</v>
      </c>
      <c r="AK56" s="14">
        <f>AK51+AK52+AK53-AK54-AK55</f>
        <v>213.78382</v>
      </c>
      <c r="AL56" s="43">
        <f>IF(AK$41=0,"N.D.",AK56/AK$41)</f>
        <v>0.0036202967797683</v>
      </c>
      <c r="AM56" s="14">
        <f>AM51+AM52+AM53-AM54-AM55</f>
        <v>-10.80206568</v>
      </c>
      <c r="AN56" s="43">
        <f>IF(AM$41=0,"N.D.",AM56/AM$41)</f>
        <v>-0.00039650833910266</v>
      </c>
      <c r="AO56" s="14">
        <f>AO51+AO52+AO53-AO54-AO55</f>
        <v>878.267602944</v>
      </c>
      <c r="AP56" s="43">
        <f>IF(AO$41=0,"N.D.",AO56/AO$41)</f>
        <v>0.32960136670024</v>
      </c>
      <c r="AQ56" s="14">
        <f>AQ51+AQ52+AQ53-AQ54-AQ55</f>
        <v>-706.61149</v>
      </c>
      <c r="AR56" s="43">
        <f>IF(AQ$41=0,"N.D.",AQ56/AQ$41)</f>
        <v>-0.0043491928451078</v>
      </c>
      <c r="AS56" s="14">
        <f>AS51+AS52+AS53-AS54-AS55</f>
        <v>-482.40451</v>
      </c>
      <c r="AT56" s="43">
        <f>IF(AS$41=0,"N.D.",AS56/AS$41)</f>
        <v>-0.36825394132997</v>
      </c>
      <c r="AU56" s="14">
        <f>AU51+AU52+AU53-AU54-AU55</f>
        <v>-107.766642736</v>
      </c>
      <c r="AV56" s="43">
        <f>IF(AU$41=0,"N.D.",AU56/AU$41)</f>
        <v>-0.00042639563155023</v>
      </c>
      <c r="AW56" s="25"/>
      <c r="AX56" s="4" t="s">
        <v>41</v>
      </c>
      <c r="AY56" s="14">
        <f>O60</f>
        <v>-1.9568071039999</v>
      </c>
      <c r="AZ56" s="22">
        <f>IF(AY$41=0,"N.D.",AY56/AY$41)</f>
        <v>-7.3240123175345E-6</v>
      </c>
      <c r="BA56" s="14">
        <f>AE56</f>
        <v>-3043.220152</v>
      </c>
      <c r="BB56" s="22">
        <f>IF(BA$41=0,"N.D.",BA56/BA$41)</f>
        <v>-0.016738046171534</v>
      </c>
      <c r="BC56" s="14">
        <f>AU56</f>
        <v>-107.766642736</v>
      </c>
      <c r="BD56" s="22">
        <f>IF(BC$41=0,"N.D.",BC56/BC$41)</f>
        <v>-0.00042639563155023</v>
      </c>
      <c r="BE56" s="14">
        <f>+AY56-BA56</f>
        <v>3041.263344896</v>
      </c>
      <c r="BF56" s="16">
        <f>IF(BA56=0,"N.D.",AY56/BA56-1)</f>
        <v>-0.99935699456291</v>
      </c>
      <c r="BG56" s="14">
        <f>AY56-BC56</f>
        <v>105.809835632</v>
      </c>
      <c r="BH56" s="16">
        <f>IF(BC56=0, "N.D.",AY56/BC56-1)</f>
        <v>-0.98184218182621</v>
      </c>
    </row>
    <row r="57" spans="1:60">
      <c r="B57" s="7" t="s">
        <v>39</v>
      </c>
      <c r="C57" s="11"/>
      <c r="D57" s="138" t="str">
        <f>IF(C$41=0,"N.D.",C57/C$41)</f>
        <v>0</v>
      </c>
      <c r="E57" s="11">
        <f>TablasERxDiv!AA44</f>
        <v>909.17223</v>
      </c>
      <c r="F57" s="138">
        <f>IF(E$41=0,"N.D.",E57/E$41)</f>
        <v>0.017059961596745</v>
      </c>
      <c r="G57" s="11">
        <f>'mxn-dll'!N21</f>
        <v>0</v>
      </c>
      <c r="H57" s="138">
        <f>IF(G$41=0,"N.D.",G57/G$41)</f>
        <v>0</v>
      </c>
      <c r="I57" s="11">
        <f>'mxn-dll'!AC21</f>
        <v>239.866936992</v>
      </c>
      <c r="J57" s="138">
        <f>IF(I$41=0,"N.D.",I57/I$41)</f>
        <v>0.1150368349419</v>
      </c>
      <c r="K57" s="11">
        <f>TablasERxDiv!AT44</f>
        <v>204.81516</v>
      </c>
      <c r="L57" s="138">
        <f>IF(K$41=0,"N.D.",K57/K$41)</f>
        <v>0.0011872290695178</v>
      </c>
      <c r="M57" s="11">
        <f>TablasERxDiv!BC44</f>
        <v>4.29151</v>
      </c>
      <c r="N57" s="138">
        <f>IF(M$41=0,"N.D.",M57/M$41)</f>
        <v>0.00057939277499717</v>
      </c>
      <c r="O57" s="11">
        <f>K57+E57+C57+M57+G57+I57+intereses_acum</f>
        <v>1359.145836992</v>
      </c>
      <c r="P57" s="138">
        <f>IF(O$41=0,"N.D.",O57/O$41)</f>
        <v>0.0050870629154542</v>
      </c>
      <c r="R57" s="4" t="s">
        <v>42</v>
      </c>
      <c r="S57" s="14"/>
      <c r="T57" s="43" t="str">
        <f>IF(S$41=0,"N.D.",S57/S$41)</f>
        <v>0</v>
      </c>
      <c r="U57" s="14">
        <f>+U49-U56</f>
        <v>0</v>
      </c>
      <c r="V57" s="43" t="str">
        <f>IF(U$41=0,"N.D.",U57/U$41)</f>
        <v>N.D.</v>
      </c>
      <c r="W57" s="14">
        <f>+W49-W56</f>
        <v>-718.8500664</v>
      </c>
      <c r="X57" s="43">
        <f>IF(W$41=0,"N.D.",W57/W$41)</f>
        <v>-0.025377687940761</v>
      </c>
      <c r="Y57" s="14">
        <f>+Y49-Y56</f>
        <v>976.3926696</v>
      </c>
      <c r="Z57" s="43">
        <f>IF(Y$41=0,"N.D.",Y57/Y$41)</f>
        <v>0.46476052948255</v>
      </c>
      <c r="AA57" s="14">
        <f>+AA49-AA56</f>
        <v>20340.422</v>
      </c>
      <c r="AB57" s="43">
        <f>IF(AA$41=0,"N.D.",AA57/AA$41)</f>
        <v>0.14516952365401</v>
      </c>
      <c r="AC57" s="14">
        <f>+AC49-AC56</f>
        <v>3427.786</v>
      </c>
      <c r="AD57" s="43">
        <f>IF(AC$41=0,"N.D.",AC57/AC$41)</f>
        <v>0.30407955104127</v>
      </c>
      <c r="AE57" s="14">
        <f>+AE49-AE56</f>
        <v>24025.7506032</v>
      </c>
      <c r="AF57" s="43">
        <f>IF(AE$41=0,"N.D.",AE57/AE$41)</f>
        <v>0.13214427573957</v>
      </c>
      <c r="AH57" s="4" t="s">
        <v>42</v>
      </c>
      <c r="AI57" s="14"/>
      <c r="AJ57" s="43" t="str">
        <f>IF(AI$41=0,"N.D.",AI57/AI$41)</f>
        <v>0</v>
      </c>
      <c r="AK57" s="14">
        <f>+AK49-AK56</f>
        <v>2355.23106</v>
      </c>
      <c r="AL57" s="43">
        <f>IF(AK$41=0,"N.D.",AK57/AK$41)</f>
        <v>0.039884381437886</v>
      </c>
      <c r="AM57" s="14">
        <f>+AM49-AM56</f>
        <v>-1710.909472824</v>
      </c>
      <c r="AN57" s="43">
        <f>IF(AM$41=0,"N.D.",AM57/AM$41)</f>
        <v>-0.062801865265501</v>
      </c>
      <c r="AO57" s="14">
        <f>+AO49-AO56</f>
        <v>-279.242195616</v>
      </c>
      <c r="AP57" s="43">
        <f>IF(AO$41=0,"N.D.",AO57/AO$41)</f>
        <v>-0.10479563291062</v>
      </c>
      <c r="AQ57" s="14">
        <f>+AQ49-AQ56</f>
        <v>10443.21017</v>
      </c>
      <c r="AR57" s="43">
        <f>IF(AQ$41=0,"N.D.",AQ57/AQ$41)</f>
        <v>0.064277945652032</v>
      </c>
      <c r="AS57" s="14">
        <f>+AS49-AS56</f>
        <v>75.14346</v>
      </c>
      <c r="AT57" s="43">
        <f>IF(AS$41=0,"N.D.",AS57/AS$41)</f>
        <v>0.057362389315496</v>
      </c>
      <c r="AU57" s="14">
        <f>+AU49-AU56</f>
        <v>10883.43302156</v>
      </c>
      <c r="AV57" s="43">
        <f>IF(AU$41=0,"N.D.",AU57/AU$41)</f>
        <v>0.043062010459313</v>
      </c>
      <c r="AX57" s="4" t="s">
        <v>42</v>
      </c>
      <c r="AY57" s="20">
        <f>O61</f>
        <v>21513.592576936</v>
      </c>
      <c r="AZ57" s="15">
        <f>IF(AY$41=0,"N.D.",AY57/AY$41)</f>
        <v>0.080521895441722</v>
      </c>
      <c r="BA57" s="20">
        <f>AE57</f>
        <v>24025.7506032</v>
      </c>
      <c r="BB57" s="15">
        <f>IF(BA$41=0,"N.D.",BA57/BA$41)</f>
        <v>0.13214427573957</v>
      </c>
      <c r="BC57" s="20">
        <f>AU57</f>
        <v>10883.43302156</v>
      </c>
      <c r="BD57" s="15">
        <f>IF(BC$41=0,"N.D.",BC57/BC$41)</f>
        <v>0.043062010459313</v>
      </c>
      <c r="BE57" s="14">
        <f>+AY57-BA57</f>
        <v>-2512.158026264</v>
      </c>
      <c r="BF57" s="16">
        <f>IF(BA57=0,"N.D.",AY57/BA57-1)</f>
        <v>-0.10456106315902</v>
      </c>
      <c r="BG57" s="14">
        <f>AY57-BC57</f>
        <v>10630.159555376</v>
      </c>
      <c r="BH57" s="16">
        <f>IF(BC57=0, "N.D.",AY57/BC57-1)</f>
        <v>0.97672853173422</v>
      </c>
    </row>
    <row r="58" spans="1:60">
      <c r="B58" s="7" t="s">
        <v>40</v>
      </c>
      <c r="C58" s="11"/>
      <c r="D58" s="138" t="str">
        <f>IF(C$41=0,"N.D.",C58/C$41)</f>
        <v>0</v>
      </c>
      <c r="E58" s="11">
        <f>TablasERxDiv!AA45</f>
        <v>31.72272</v>
      </c>
      <c r="F58" s="138">
        <f>IF(E$41=0,"N.D.",E58/E$41)</f>
        <v>0.00059525397618478</v>
      </c>
      <c r="G58" s="11">
        <f>'mxn-dll'!N22</f>
        <v>0</v>
      </c>
      <c r="H58" s="138">
        <f>IF(G$41=0,"N.D.",G58/G$41)</f>
        <v>0</v>
      </c>
      <c r="I58" s="11">
        <f>'mxn-dll'!AC22</f>
        <v>0</v>
      </c>
      <c r="J58" s="138">
        <f>IF(I$41=0,"N.D.",I58/I$41)</f>
        <v>0</v>
      </c>
      <c r="K58" s="11">
        <f>TablasERxDiv!AT45</f>
        <v>65.066835</v>
      </c>
      <c r="L58" s="138">
        <f>IF(K$41=0,"N.D.",K58/K$41)</f>
        <v>0.00037716562569644</v>
      </c>
      <c r="M58" s="11">
        <f>TablasERxDiv!BC45</f>
        <v>372.76143</v>
      </c>
      <c r="N58" s="138">
        <f>IF(M$41=0,"N.D.",M58/M$41)</f>
        <v>0.050326174083158</v>
      </c>
      <c r="O58" s="11">
        <f>K58+E58+C58+M58+G58+I58</f>
        <v>469.550985</v>
      </c>
      <c r="P58" s="138">
        <f>IF(O$41=0,"N.D.",O58/O$41)</f>
        <v>0.0017574533487848</v>
      </c>
      <c r="R58" s="1"/>
      <c r="S58" s="30"/>
      <c r="T58" s="44"/>
      <c r="U58" s="30"/>
      <c r="V58" s="44"/>
      <c r="W58" s="30"/>
      <c r="X58" s="44"/>
      <c r="Y58" s="30"/>
      <c r="Z58" s="44"/>
      <c r="AA58" s="30"/>
      <c r="AB58" s="44"/>
      <c r="AC58" s="30"/>
      <c r="AD58" s="44"/>
      <c r="AE58" s="30"/>
      <c r="AF58" s="44"/>
      <c r="AH58" s="1"/>
      <c r="AI58" s="30"/>
      <c r="AJ58" s="44"/>
      <c r="AK58" s="30"/>
      <c r="AL58" s="44"/>
      <c r="AM58" s="30"/>
      <c r="AN58" s="44"/>
      <c r="AO58" s="30"/>
      <c r="AP58" s="44"/>
      <c r="AQ58" s="30"/>
      <c r="AR58" s="44"/>
      <c r="AS58" s="30"/>
      <c r="AT58" s="44"/>
      <c r="AU58" s="30"/>
      <c r="AV58" s="44"/>
      <c r="AX58" s="1"/>
      <c r="AY58" s="17"/>
      <c r="AZ58" s="18"/>
      <c r="BA58" s="17"/>
      <c r="BB58" s="18"/>
      <c r="BC58" s="17"/>
      <c r="BD58" s="18"/>
      <c r="BE58" s="17"/>
      <c r="BF58" s="19"/>
      <c r="BG58" s="17"/>
      <c r="BH58" s="19"/>
    </row>
    <row r="59" spans="1:60">
      <c r="B59" s="7"/>
      <c r="C59" s="11"/>
      <c r="D59" s="138" t="str">
        <f>IF(C$41=0,"N.D.",C59/C$41)</f>
        <v>0</v>
      </c>
      <c r="E59" s="11">
        <f>TablasERxDiv!AA46</f>
        <v>0</v>
      </c>
      <c r="F59" s="138">
        <f>IF(E$41=0,"N.D.",E59/E$41)</f>
        <v>0</v>
      </c>
      <c r="G59" s="11">
        <f>'mxn-dll'!N23</f>
        <v>0</v>
      </c>
      <c r="H59" s="138">
        <f>IF(G$41=0,"N.D.",G59/G$41)</f>
        <v>0</v>
      </c>
      <c r="I59" s="11">
        <f>'mxn-dll'!AC23</f>
        <v>0</v>
      </c>
      <c r="J59" s="138">
        <f>IF(I$41=0,"N.D.",I59/I$41)</f>
        <v>0</v>
      </c>
      <c r="K59" s="11">
        <f>TablasERxDiv!AT46</f>
        <v>0</v>
      </c>
      <c r="L59" s="138">
        <f>IF(K$41=0,"N.D.",K59/K$41)</f>
        <v>0</v>
      </c>
      <c r="M59" s="11">
        <f>TablasERxDiv!BC46</f>
        <v>0</v>
      </c>
      <c r="N59" s="138">
        <f>IF(M$41=0,"N.D.",M59/M$41)</f>
        <v>0</v>
      </c>
      <c r="O59" s="11">
        <f>K59+E59+C59+M59+G59+I59</f>
        <v>0</v>
      </c>
      <c r="P59" s="138">
        <f>IF(O$41=0,"N.D.",O59/O$41)</f>
        <v>0</v>
      </c>
      <c r="R59" s="7" t="s">
        <v>43</v>
      </c>
      <c r="S59" s="8"/>
      <c r="T59" s="29" t="str">
        <f>IF(S$41=0,"N.D.",S59/S$41)</f>
        <v>0</v>
      </c>
      <c r="U59" s="8">
        <f>(BDER!L19+BDER!L41+BDER!L63+BDER!L85+BDER!L107+BDER!L129)/1000</f>
        <v>0</v>
      </c>
      <c r="V59" s="29" t="str">
        <f>IF(U$41=0,"N.D.",U59/U$41)</f>
        <v>N.D.</v>
      </c>
      <c r="W59" s="8">
        <f>(BDER!L482+BDER!L505+BDER!L572+BDER!L617)*TC_MES/1000</f>
        <v>0</v>
      </c>
      <c r="X59" s="29">
        <f>IF(W$41=0,"N.D.",W59/W$41)</f>
        <v>0</v>
      </c>
      <c r="Y59" s="8">
        <f>Y127*TC_MES</f>
        <v>0</v>
      </c>
      <c r="Z59" s="29">
        <f>IF(Y$41=0,"N.D.",Y59/Y$41)</f>
        <v>0</v>
      </c>
      <c r="AA59" s="8">
        <f>(BDER!L305+BDER!L327+BDER!H349+BDER!L371+BDER!L393+BDER!L415)/1000</f>
        <v>3002.579</v>
      </c>
      <c r="AB59" s="29">
        <f>IF(AA$41=0,"N.D.",AA59/AA$41)</f>
        <v>0.02142939626147</v>
      </c>
      <c r="AC59" s="8">
        <f>(BDER!L437+BDER!L459)/1000</f>
        <v>779.786</v>
      </c>
      <c r="AD59" s="29">
        <f>IF(AC$41=0,"N.D.",AC59/AC$41)</f>
        <v>0.069174965061491</v>
      </c>
      <c r="AE59" s="8">
        <f>+AA59+U59+S59+AC59+W59+Y59</f>
        <v>3782.365</v>
      </c>
      <c r="AF59" s="29">
        <f>IF(AE$41=0,"N.D.",AE59/AE$41)</f>
        <v>0.020803424282659</v>
      </c>
      <c r="AH59" s="7" t="s">
        <v>43</v>
      </c>
      <c r="AI59" s="8"/>
      <c r="AJ59" s="29" t="str">
        <f>IF(AI$41=0,"N.D.",AI59/AI$41)</f>
        <v>0</v>
      </c>
      <c r="AK59" s="8">
        <f>(BDER!H19+BDER!H41+BDER!H63+BDER!H85+BDER!H107+BDER!H129)/1000</f>
        <v>1283.2722</v>
      </c>
      <c r="AL59" s="29">
        <f>IF(AK$41=0,"N.D.",AK59/AK$41)</f>
        <v>0.021731421083346</v>
      </c>
      <c r="AM59" s="8">
        <f>(BDER!H482+BDER!H505+BDER!H572+BDER!H617)*TC_MES/1000</f>
        <v>0</v>
      </c>
      <c r="AN59" s="29">
        <f>IF(AM$41=0,"N.D.",AM59/AM$41)</f>
        <v>0</v>
      </c>
      <c r="AO59" s="8">
        <f>AO127*TC_MES</f>
        <v>0</v>
      </c>
      <c r="AP59" s="29">
        <f>IF(AO$41=0,"N.D.",AO59/AO$41)</f>
        <v>0</v>
      </c>
      <c r="AQ59" s="8">
        <f>(BDER!H305+BDER!H327+BDER!F349+BDER!H371+BDER!H393+BDER!H415)/1000</f>
        <v>3513.88588</v>
      </c>
      <c r="AR59" s="29">
        <f>IF(AQ$41=0,"N.D.",AQ59/AQ$41)</f>
        <v>0.021627963235952</v>
      </c>
      <c r="AS59" s="8">
        <f>(BDER!H437+BDER!H459)/1000</f>
        <v>0</v>
      </c>
      <c r="AT59" s="29">
        <f>IF(AS$41=0,"N.D.",AS59/AS$41)</f>
        <v>0</v>
      </c>
      <c r="AU59" s="8">
        <f>+AQ59+AK59+AI59+AS59+AM59+AO59</f>
        <v>4797.15808</v>
      </c>
      <c r="AV59" s="29">
        <f>IF(AU$41=0,"N.D.",AU59/AU$41)</f>
        <v>0.018980708661202</v>
      </c>
      <c r="AX59" s="7" t="s">
        <v>44</v>
      </c>
      <c r="AY59" s="8">
        <f>O63</f>
        <v>6235.25878</v>
      </c>
      <c r="AZ59" s="9">
        <f>IF(AY$41=0,"N.D.",AY59/AY$41)</f>
        <v>0.023337564553188</v>
      </c>
      <c r="BA59" s="8">
        <f>AE59</f>
        <v>3782.365</v>
      </c>
      <c r="BB59" s="9">
        <f>IF(BA$41=0,"N.D.",BA59/BA$41)</f>
        <v>0.020803424282659</v>
      </c>
      <c r="BC59" s="8">
        <f>AU59</f>
        <v>4797.15808</v>
      </c>
      <c r="BD59" s="9">
        <f>IF(BC$41=0,"N.D.",BC59/BC$41)</f>
        <v>0.018980708661202</v>
      </c>
      <c r="BE59" s="8">
        <f>+AY59-BA59</f>
        <v>2452.89378</v>
      </c>
      <c r="BF59" s="10">
        <f>IF(BA59=0,"N.D.",AY59/BA59-1)</f>
        <v>0.6485079520353</v>
      </c>
      <c r="BG59" s="8">
        <f>AY59-BC59</f>
        <v>1438.1007</v>
      </c>
      <c r="BH59" s="10">
        <f>IF(BC59=0, "N.D.",AY59/BC59-1)</f>
        <v>0.29978180331301</v>
      </c>
    </row>
    <row r="60" spans="1:60">
      <c r="B60" s="4" t="s">
        <v>41</v>
      </c>
      <c r="C60" s="14"/>
      <c r="D60" s="139" t="str">
        <f>IF(C$41=0,"N.D.",C60/C$41)</f>
        <v>0</v>
      </c>
      <c r="E60" s="14">
        <f>+E55+E56+E57-E58</f>
        <v>793.04996</v>
      </c>
      <c r="F60" s="139">
        <f>IF(E$41=0,"N.D.",E60/E$41)</f>
        <v>0.014881010897022</v>
      </c>
      <c r="G60" s="14">
        <f>+G55+G56+G57-G58</f>
        <v>-204.943359096</v>
      </c>
      <c r="H60" s="139">
        <f>IF(G$41=0,"N.D.",G60/G$41)</f>
        <v>-0.0064292216345024</v>
      </c>
      <c r="I60" s="14">
        <f>+I55+I56+I57-I58</f>
        <v>239.866936992</v>
      </c>
      <c r="J60" s="139">
        <f>IF(I$41=0,"N.D.",I60/I$41)</f>
        <v>0.1150368349419</v>
      </c>
      <c r="K60" s="14">
        <f>+K55+K56+K57-K58</f>
        <v>-471.403855</v>
      </c>
      <c r="L60" s="139">
        <f>IF(K$41=0,"N.D.",K60/K$41)</f>
        <v>-0.0027325338619404</v>
      </c>
      <c r="M60" s="14">
        <f>+M55+M56+M57-M58</f>
        <v>-359.52649</v>
      </c>
      <c r="N60" s="139">
        <f>IF(M$41=0,"N.D.",M60/M$41)</f>
        <v>-0.048539337139163</v>
      </c>
      <c r="O60" s="14">
        <f>+O55+O56+O57-O58</f>
        <v>-1.9568071039999</v>
      </c>
      <c r="P60" s="139">
        <f>IF(O$41=0,"N.D.",O60/O$41)</f>
        <v>-7.3240123175345E-6</v>
      </c>
      <c r="R60" s="7" t="s">
        <v>45</v>
      </c>
      <c r="S60" s="8"/>
      <c r="T60" s="42" t="str">
        <f>IF(S$41=0,"N.D.",S60/S$41)</f>
        <v>0</v>
      </c>
      <c r="U60" s="8">
        <f>(BDER!L20+BDER!L42+BDER!L64+BDER!L86+BDER!L108+BDER!L130)/1000</f>
        <v>0</v>
      </c>
      <c r="V60" s="42" t="str">
        <f>IF(U$41=0,"N.D.",U60/U$41)</f>
        <v>N.D.</v>
      </c>
      <c r="W60" s="8">
        <f>(BDER!L483+BDER!L506+BDER!L573+BDER!L618)*TC_MES/1000</f>
        <v>0</v>
      </c>
      <c r="X60" s="42">
        <f>IF(W$41=0,"N.D.",W60/W$41)</f>
        <v>0</v>
      </c>
      <c r="Y60" s="8">
        <f>Y128*TC_MES</f>
        <v>0</v>
      </c>
      <c r="Z60" s="42">
        <f>IF(Y$41=0,"N.D.",Y60/Y$41)</f>
        <v>0</v>
      </c>
      <c r="AA60" s="8">
        <f>(BDER!L306+BDER!L328+BDER!H350+BDER!L372+BDER!L394+BDER!L416)/1000</f>
        <v>0</v>
      </c>
      <c r="AB60" s="42">
        <f>IF(AA$41=0,"N.D.",AA60/AA$41)</f>
        <v>0</v>
      </c>
      <c r="AC60" s="8">
        <f>(BDER!L438+BDER!L460)/1000</f>
        <v>0</v>
      </c>
      <c r="AD60" s="42">
        <f>IF(AC$41=0,"N.D.",AC60/AC$41)</f>
        <v>0</v>
      </c>
      <c r="AE60" s="11">
        <f>+AA60+U60+S60+AC60+W60+Y60</f>
        <v>0</v>
      </c>
      <c r="AF60" s="42">
        <f>IF(AE$41=0,"N.D.",AE60/AE$41)</f>
        <v>0</v>
      </c>
      <c r="AH60" s="7" t="s">
        <v>45</v>
      </c>
      <c r="AI60" s="8"/>
      <c r="AJ60" s="42" t="str">
        <f>IF(AI$41=0,"N.D.",AI60/AI$41)</f>
        <v>0</v>
      </c>
      <c r="AK60" s="8">
        <f>(BDER!H20+BDER!H42+BDER!H64+BDER!H86+BDER!H108+BDER!H130)/1000</f>
        <v>0</v>
      </c>
      <c r="AL60" s="42">
        <f>IF(AK$41=0,"N.D.",AK60/AK$41)</f>
        <v>0</v>
      </c>
      <c r="AM60" s="8">
        <f>(BDER!H483+BDER!H506+BDER!H573+BDER!H618)*TC_MES/1000</f>
        <v>0</v>
      </c>
      <c r="AN60" s="42">
        <f>IF(AM$41=0,"N.D.",AM60/AM$41)</f>
        <v>0</v>
      </c>
      <c r="AO60" s="8">
        <f>AO128*TC_MES</f>
        <v>0</v>
      </c>
      <c r="AP60" s="42">
        <f>IF(AO$41=0,"N.D.",AO60/AO$41)</f>
        <v>0</v>
      </c>
      <c r="AQ60" s="8">
        <f>(BDER!H306+BDER!H328+BDER!F350+BDER!H372+BDER!H394+BDER!H416)/1000</f>
        <v>0</v>
      </c>
      <c r="AR60" s="42">
        <f>IF(AQ$41=0,"N.D.",AQ60/AQ$41)</f>
        <v>0</v>
      </c>
      <c r="AS60" s="8">
        <f>(BDER!H438+BDER!H460)/1000</f>
        <v>0</v>
      </c>
      <c r="AT60" s="42">
        <f>IF(AS$41=0,"N.D.",AS60/AS$41)</f>
        <v>0</v>
      </c>
      <c r="AU60" s="11">
        <f>+AQ60+AK60+AI60+AS60+AM60+AO60</f>
        <v>0</v>
      </c>
      <c r="AV60" s="42">
        <f>IF(AU$41=0,"N.D.",AU60/AU$41)</f>
        <v>0</v>
      </c>
      <c r="AX60" s="7" t="s">
        <v>46</v>
      </c>
      <c r="AY60" s="11">
        <f>O64</f>
        <v>0</v>
      </c>
      <c r="AZ60" s="12">
        <f>IF(AY$41=0,"N.D.",AY60/AY$41)</f>
        <v>0</v>
      </c>
      <c r="BA60" s="11">
        <f>AE60</f>
        <v>0</v>
      </c>
      <c r="BB60" s="12">
        <f>IF(BA$41=0,"N.D.",BA60/BA$41)</f>
        <v>0</v>
      </c>
      <c r="BC60" s="11">
        <f>AU60</f>
        <v>0</v>
      </c>
      <c r="BD60" s="12">
        <f>IF(BC$41=0,"N.D.",BC60/BC$41)</f>
        <v>0</v>
      </c>
      <c r="BE60" s="11">
        <f>+AY60-BA60</f>
        <v>0</v>
      </c>
      <c r="BF60" s="13" t="str">
        <f>IF(BA60=0,"N.D.",AY60/BA60-1)</f>
        <v>N.D.</v>
      </c>
      <c r="BG60" s="11">
        <f>AY60-BC60</f>
        <v>0</v>
      </c>
      <c r="BH60" s="13" t="str">
        <f>IF(BC60=0, "N.D.",AY60/BC60-1)</f>
        <v>N.D.</v>
      </c>
    </row>
    <row r="61" spans="1:60">
      <c r="B61" s="4" t="s">
        <v>42</v>
      </c>
      <c r="C61" s="14"/>
      <c r="D61" s="139" t="str">
        <f>IF(C$41=0,"N.D.",C61/C$41)</f>
        <v>0</v>
      </c>
      <c r="E61" s="14">
        <f>+E53-E60</f>
        <v>5566.96647</v>
      </c>
      <c r="F61" s="139">
        <f>IF(E$41=0,"N.D.",E61/E$41)</f>
        <v>0.1044601133369</v>
      </c>
      <c r="G61" s="14">
        <f>+G53-G60</f>
        <v>2006.965960416</v>
      </c>
      <c r="H61" s="139">
        <f>IF(G$41=0,"N.D.",G61/G$41)</f>
        <v>0.062959976011578</v>
      </c>
      <c r="I61" s="14">
        <f>+I53-I60</f>
        <v>798.22027152</v>
      </c>
      <c r="J61" s="139">
        <f>IF(I$41=0,"N.D.",I61/I$41)</f>
        <v>0.3828153007398</v>
      </c>
      <c r="K61" s="14">
        <f>+K53-K60</f>
        <v>9913.913065</v>
      </c>
      <c r="L61" s="139">
        <f>IF(K$41=0,"N.D.",K61/K$41)</f>
        <v>0.057466868094335</v>
      </c>
      <c r="M61" s="14">
        <f>+M53-M60</f>
        <v>3228.52681</v>
      </c>
      <c r="N61" s="139">
        <f>IF(M$41=0,"N.D.",M61/M$41)</f>
        <v>0.43588040284158</v>
      </c>
      <c r="O61" s="14">
        <f>+O53-O60</f>
        <v>21513.592576936</v>
      </c>
      <c r="P61" s="139">
        <f>IF(O$41=0,"N.D.",O61/O$41)</f>
        <v>0.080521895441722</v>
      </c>
      <c r="R61" s="4" t="s">
        <v>47</v>
      </c>
      <c r="S61" s="14"/>
      <c r="T61" s="43" t="str">
        <f>IF(S$41=0,"N.D.",S61/S$41)</f>
        <v>0</v>
      </c>
      <c r="U61" s="14">
        <f>+U57-U59-U60</f>
        <v>0</v>
      </c>
      <c r="V61" s="43" t="str">
        <f>IF(U$41=0,"N.D.",U61/U$41)</f>
        <v>N.D.</v>
      </c>
      <c r="W61" s="14">
        <f>+W57-W59-W60</f>
        <v>-718.8500664</v>
      </c>
      <c r="X61" s="43">
        <f>IF(W$41=0,"N.D.",W61/W$41)</f>
        <v>-0.025377687940761</v>
      </c>
      <c r="Y61" s="14">
        <f>+Y57-Y59-Y60</f>
        <v>976.3926696</v>
      </c>
      <c r="Z61" s="43">
        <f>IF(Y$41=0,"N.D.",Y61/Y$41)</f>
        <v>0.46476052948255</v>
      </c>
      <c r="AA61" s="14">
        <f>+AA57-AA59-AA60</f>
        <v>17337.843</v>
      </c>
      <c r="AB61" s="43">
        <f>IF(AA$41=0,"N.D.",AA61/AA$41)</f>
        <v>0.12374012739254</v>
      </c>
      <c r="AC61" s="14">
        <f>+AC57-AC59-AC60</f>
        <v>2648</v>
      </c>
      <c r="AD61" s="43">
        <f>IF(AC$41=0,"N.D.",AC61/AC$41)</f>
        <v>0.23490458597978</v>
      </c>
      <c r="AE61" s="14">
        <f>+AE57-AE59-AE60</f>
        <v>20243.3856032</v>
      </c>
      <c r="AF61" s="43">
        <f>IF(AE$41=0,"N.D.",AE61/AE$41)</f>
        <v>0.11134085145692</v>
      </c>
      <c r="AH61" s="4" t="s">
        <v>47</v>
      </c>
      <c r="AI61" s="14"/>
      <c r="AJ61" s="43" t="str">
        <f>IF(AI$41=0,"N.D.",AI61/AI$41)</f>
        <v>0</v>
      </c>
      <c r="AK61" s="14">
        <f>+AK57-AK59-AK60</f>
        <v>1071.95886</v>
      </c>
      <c r="AL61" s="43">
        <f>IF(AK$41=0,"N.D.",AK61/AK$41)</f>
        <v>0.01815296035454</v>
      </c>
      <c r="AM61" s="14">
        <f>+AM57-AM59-AM60</f>
        <v>-1710.909472824</v>
      </c>
      <c r="AN61" s="43">
        <f>IF(AM$41=0,"N.D.",AM61/AM$41)</f>
        <v>-0.062801865265501</v>
      </c>
      <c r="AO61" s="14">
        <f>+AO57-AO59-AO60</f>
        <v>-279.242195616</v>
      </c>
      <c r="AP61" s="43">
        <f>IF(AO$41=0,"N.D.",AO61/AO$41)</f>
        <v>-0.10479563291062</v>
      </c>
      <c r="AQ61" s="14">
        <f>+AQ57-AQ59-AQ60</f>
        <v>6929.32429</v>
      </c>
      <c r="AR61" s="43">
        <f>IF(AQ$41=0,"N.D.",AQ61/AQ$41)</f>
        <v>0.04264998241608</v>
      </c>
      <c r="AS61" s="14">
        <f>+AS57-AS59-AS60</f>
        <v>75.14346</v>
      </c>
      <c r="AT61" s="43">
        <f>IF(AS$41=0,"N.D.",AS61/AS$41)</f>
        <v>0.057362389315496</v>
      </c>
      <c r="AU61" s="14">
        <f>+AU57-AU59-AU60</f>
        <v>6086.27494156</v>
      </c>
      <c r="AV61" s="43">
        <f>IF(AU$41=0,"N.D.",AU61/AU$41)</f>
        <v>0.024081301798111</v>
      </c>
      <c r="AX61" s="4" t="s">
        <v>47</v>
      </c>
      <c r="AY61" s="14">
        <f>O65</f>
        <v>15278.333796936</v>
      </c>
      <c r="AZ61" s="15">
        <f>IF(AY$41=0,"N.D.",AY61/AY$41)</f>
        <v>0.057184330888534</v>
      </c>
      <c r="BA61" s="14">
        <f>AE61</f>
        <v>20243.3856032</v>
      </c>
      <c r="BB61" s="15">
        <f>IF(BA$41=0,"N.D.",BA61/BA$41)</f>
        <v>0.11134085145692</v>
      </c>
      <c r="BC61" s="14">
        <f>AU61</f>
        <v>6086.27494156</v>
      </c>
      <c r="BD61" s="15">
        <f>IF(BC$41=0,"N.D.",BC61/BC$41)</f>
        <v>0.024081301798111</v>
      </c>
      <c r="BE61" s="14">
        <f>+AY61-BA61</f>
        <v>-4965.0518062639</v>
      </c>
      <c r="BF61" s="16">
        <f>IF(BA61=0,"N.D.",AY61/BA61-1)</f>
        <v>-0.24526785704656</v>
      </c>
      <c r="BG61" s="14">
        <f>AY61-BC61</f>
        <v>9192.058855376</v>
      </c>
      <c r="BH61" s="16">
        <f>IF(BC61=0, "N.D.",AY61/BC61-1)</f>
        <v>1.5102930681965</v>
      </c>
    </row>
    <row r="62" spans="1:60">
      <c r="B62" s="1"/>
      <c r="C62" s="30"/>
      <c r="D62" s="140"/>
      <c r="E62" s="30"/>
      <c r="F62" s="140"/>
      <c r="G62" s="30"/>
      <c r="H62" s="140"/>
      <c r="I62" s="30"/>
      <c r="J62" s="140"/>
      <c r="K62" s="30"/>
      <c r="L62" s="140"/>
      <c r="M62" s="30"/>
      <c r="N62" s="140"/>
      <c r="O62" s="30"/>
      <c r="P62" s="140"/>
      <c r="R62" s="4" t="s">
        <v>48</v>
      </c>
      <c r="S62" s="20"/>
      <c r="T62" s="45" t="str">
        <f>IF(S$41=0,"N.D.",S62/S$41)</f>
        <v>0</v>
      </c>
      <c r="U62" s="20">
        <f>+U49+U47</f>
        <v>0</v>
      </c>
      <c r="V62" s="45" t="str">
        <f>IF(U$41=0,"N.D.",U62/U$41)</f>
        <v>N.D.</v>
      </c>
      <c r="W62" s="20">
        <f>+W49+W47</f>
        <v>-661.1284872</v>
      </c>
      <c r="X62" s="45">
        <f>IF(W$41=0,"N.D.",W62/W$41)</f>
        <v>-0.023339933069677</v>
      </c>
      <c r="Y62" s="20">
        <f>+Y49+Y47</f>
        <v>1429.38774</v>
      </c>
      <c r="Z62" s="45">
        <f>IF(Y$41=0,"N.D.",Y62/Y$41)</f>
        <v>0.68038507821901</v>
      </c>
      <c r="AA62" s="20">
        <f>+AA49+AA47</f>
        <v>20211.643</v>
      </c>
      <c r="AB62" s="45">
        <f>IF(AA$41=0,"N.D.",AA62/AA$41)</f>
        <v>0.14425042836254</v>
      </c>
      <c r="AC62" s="20">
        <f>+AC49+AC47</f>
        <v>2884.542</v>
      </c>
      <c r="AD62" s="45">
        <f>IF(AC$41=0,"N.D.",AC62/AC$41)</f>
        <v>0.25588827199822</v>
      </c>
      <c r="AE62" s="20">
        <f>+AE49+AE47</f>
        <v>23864.4442528</v>
      </c>
      <c r="AF62" s="45">
        <f>IF(AE$41=0,"N.D.",AE62/AE$41)</f>
        <v>0.13125707303786</v>
      </c>
      <c r="AH62" s="4" t="s">
        <v>48</v>
      </c>
      <c r="AI62" s="20"/>
      <c r="AJ62" s="45" t="str">
        <f>IF(AI$41=0,"N.D.",AI62/AI$41)</f>
        <v>0</v>
      </c>
      <c r="AK62" s="20">
        <f>+AK49+AK47</f>
        <v>3442.33949</v>
      </c>
      <c r="AL62" s="45">
        <f>IF(AK$41=0,"N.D.",AK62/AK$41)</f>
        <v>0.058293890391314</v>
      </c>
      <c r="AM62" s="20">
        <f>+AM49+AM47</f>
        <v>-1407.666507048</v>
      </c>
      <c r="AN62" s="45">
        <f>IF(AM$41=0,"N.D.",AM62/AM$41)</f>
        <v>-0.051670812347815</v>
      </c>
      <c r="AO62" s="20">
        <f>+AO49+AO47</f>
        <v>1023.794949096</v>
      </c>
      <c r="AP62" s="45">
        <f>IF(AO$41=0,"N.D.",AO62/AO$41)</f>
        <v>0.38421571433548</v>
      </c>
      <c r="AQ62" s="20">
        <f>+AQ49+AQ47</f>
        <v>12368.26708</v>
      </c>
      <c r="AR62" s="45">
        <f>IF(AQ$41=0,"N.D.",AQ62/AQ$41)</f>
        <v>0.076126668546981</v>
      </c>
      <c r="AS62" s="20">
        <f>+AS49+AS47</f>
        <v>-376.20747</v>
      </c>
      <c r="AT62" s="45">
        <f>IF(AS$41=0,"N.D.",AS62/AS$41)</f>
        <v>-0.28718612847396</v>
      </c>
      <c r="AU62" s="20">
        <f>+AU49+AU47</f>
        <v>15050.527542048</v>
      </c>
      <c r="AV62" s="45">
        <f>IF(AU$41=0,"N.D.",AU62/AU$41)</f>
        <v>0.05954977378461</v>
      </c>
      <c r="AX62" s="4" t="s">
        <v>48</v>
      </c>
      <c r="AY62" s="14">
        <f>O66</f>
        <v>25381.555027128</v>
      </c>
      <c r="AZ62" s="15">
        <f>IF(AY$41=0,"N.D.",AY62/AY$41)</f>
        <v>0.094999052935203</v>
      </c>
      <c r="BA62" s="14">
        <f>AE62</f>
        <v>23864.4442528</v>
      </c>
      <c r="BB62" s="15">
        <f>IF(BA$41=0,"N.D.",BA62/BA$41)</f>
        <v>0.13125707303786</v>
      </c>
      <c r="BC62" s="14">
        <f>AU62</f>
        <v>15050.527542048</v>
      </c>
      <c r="BD62" s="15">
        <f>IF(BC$41=0,"N.D.",BC62/BC$41)</f>
        <v>0.05954977378461</v>
      </c>
      <c r="BE62" s="14">
        <f>+AY62-BA62</f>
        <v>1517.110774328</v>
      </c>
      <c r="BF62" s="16">
        <f>IF(BA62=0,"N.D.",AY62/BA62-1)</f>
        <v>0.063572013588795</v>
      </c>
      <c r="BG62" s="14">
        <f>AY62-BC62</f>
        <v>10331.02748508</v>
      </c>
      <c r="BH62" s="16">
        <f>IF(BC62=0, "N.D.",AY62/BC62-1)</f>
        <v>0.68642294804732</v>
      </c>
    </row>
    <row r="63" spans="1:60">
      <c r="B63" s="7" t="s">
        <v>43</v>
      </c>
      <c r="C63" s="8"/>
      <c r="D63" s="141" t="str">
        <f>IF(C$41=0,"N.D.",C63/C$41)</f>
        <v>0</v>
      </c>
      <c r="E63" s="8">
        <f>TablasERxDiv!AA50</f>
        <v>1537.24566</v>
      </c>
      <c r="F63" s="141">
        <f>IF(E$41=0,"N.D.",E63/E$41)</f>
        <v>0.028845306817568</v>
      </c>
      <c r="G63" s="8">
        <f>'mxn-dll'!N27</f>
        <v>0</v>
      </c>
      <c r="H63" s="141">
        <f>IF(G$41=0,"N.D.",G63/G$41)</f>
        <v>0</v>
      </c>
      <c r="I63" s="8">
        <f>'mxn-dll'!AC27</f>
        <v>0</v>
      </c>
      <c r="J63" s="141">
        <f>IF(I$41=0,"N.D.",I63/I$41)</f>
        <v>0</v>
      </c>
      <c r="K63" s="8">
        <f>TablasERxDiv!AT50</f>
        <v>4007.18812</v>
      </c>
      <c r="L63" s="141">
        <f>IF(K$41=0,"N.D.",K63/K$41)</f>
        <v>0.023228017999694</v>
      </c>
      <c r="M63" s="8">
        <f>TablasERxDiv!BC50</f>
        <v>690.825</v>
      </c>
      <c r="N63" s="141">
        <f>IF(M$41=0,"N.D.",M63/M$41)</f>
        <v>0.093267640943961</v>
      </c>
      <c r="O63" s="8">
        <f>K63+E63+C63+M63+G63+I63</f>
        <v>6235.25878</v>
      </c>
      <c r="P63" s="141">
        <f>IF(O$41=0,"N.D.",O63/O$41)</f>
        <v>0.023337564553188</v>
      </c>
    </row>
    <row r="64" spans="1:60">
      <c r="B64" s="7" t="s">
        <v>46</v>
      </c>
      <c r="C64" s="11"/>
      <c r="D64" s="138" t="str">
        <f>IF(C$41=0,"N.D.",C64/C$41)</f>
        <v>0</v>
      </c>
      <c r="E64" s="11">
        <f>TablasERxDiv!AA51</f>
        <v>0</v>
      </c>
      <c r="F64" s="138">
        <f>IF(E$41=0,"N.D.",E64/E$41)</f>
        <v>0</v>
      </c>
      <c r="G64" s="11">
        <f>'mxn-dll'!N28</f>
        <v>0</v>
      </c>
      <c r="H64" s="138">
        <f>IF(G$41=0,"N.D.",G64/G$41)</f>
        <v>0</v>
      </c>
      <c r="I64" s="11">
        <f>'mxn-dll'!AC28</f>
        <v>0</v>
      </c>
      <c r="J64" s="138">
        <f>IF(I$41=0,"N.D.",I64/I$41)</f>
        <v>0</v>
      </c>
      <c r="K64" s="11">
        <f>TablasERxDiv!AT51</f>
        <v>0</v>
      </c>
      <c r="L64" s="138">
        <f>IF(K$41=0,"N.D.",K64/K$41)</f>
        <v>0</v>
      </c>
      <c r="M64" s="11">
        <f>TablasERxDiv!BC51</f>
        <v>0</v>
      </c>
      <c r="N64" s="138">
        <f>IF(M$41=0,"N.D.",M64/M$41)</f>
        <v>0</v>
      </c>
      <c r="O64" s="11">
        <f>K64+E64+C64+M64+G64+I64</f>
        <v>0</v>
      </c>
      <c r="P64" s="138">
        <f>IF(O$41=0,"N.D.",O64/O$41)</f>
        <v>0</v>
      </c>
    </row>
    <row r="65" spans="1:60">
      <c r="B65" s="4" t="s">
        <v>47</v>
      </c>
      <c r="C65" s="14"/>
      <c r="D65" s="139" t="str">
        <f>IF(C$41=0,"N.D.",C65/C$41)</f>
        <v>0</v>
      </c>
      <c r="E65" s="14">
        <f>E61-E63-E64</f>
        <v>4029.72081</v>
      </c>
      <c r="F65" s="139">
        <f>IF(E$41=0,"N.D.",E65/E$41)</f>
        <v>0.075614806519336</v>
      </c>
      <c r="G65" s="14">
        <f>G61-G63-G64</f>
        <v>2006.965960416</v>
      </c>
      <c r="H65" s="139">
        <f>IF(G$41=0,"N.D.",G65/G$41)</f>
        <v>0.062959976011578</v>
      </c>
      <c r="I65" s="14">
        <f>I61-I63-I64</f>
        <v>798.22027152</v>
      </c>
      <c r="J65" s="139">
        <f>IF(I$41=0,"N.D.",I65/I$41)</f>
        <v>0.3828153007398</v>
      </c>
      <c r="K65" s="14">
        <f>K61-K63-K64</f>
        <v>5906.724945</v>
      </c>
      <c r="L65" s="139">
        <f>IF(K$41=0,"N.D.",K65/K$41)</f>
        <v>0.03423885009464</v>
      </c>
      <c r="M65" s="14">
        <f>M61-M63-M64</f>
        <v>2537.70181</v>
      </c>
      <c r="N65" s="139">
        <f>IF(M$41=0,"N.D.",M65/M$41)</f>
        <v>0.34261276189762</v>
      </c>
      <c r="O65" s="14">
        <f>O61-O63-O64</f>
        <v>15278.333796936</v>
      </c>
      <c r="P65" s="139">
        <f>IF(O$41=0,"N.D.",O65/O$41)</f>
        <v>0.057184330888534</v>
      </c>
    </row>
    <row r="66" spans="1:60">
      <c r="B66" s="4" t="s">
        <v>48</v>
      </c>
      <c r="C66" s="20"/>
      <c r="D66" s="142" t="str">
        <f>IF(C$41=0,"N.D.",C66/C$41)</f>
        <v>0</v>
      </c>
      <c r="E66" s="20">
        <f>E53+E47</f>
        <v>7270.53006</v>
      </c>
      <c r="F66" s="142">
        <f>IF(E$41=0,"N.D.",E66/E$41)</f>
        <v>0.13642625623484</v>
      </c>
      <c r="G66" s="20">
        <f>G53+G47</f>
        <v>2178.440309232</v>
      </c>
      <c r="H66" s="142">
        <f>IF(G$41=0,"N.D.",G66/G$41)</f>
        <v>0.06833925054886</v>
      </c>
      <c r="I66" s="20">
        <f>I53+I47</f>
        <v>1647.345757896</v>
      </c>
      <c r="J66" s="142">
        <f>IF(I$41=0,"N.D.",I66/I$41)</f>
        <v>0.79004403199449</v>
      </c>
      <c r="K66" s="20">
        <f>K53+K47</f>
        <v>11384.31317</v>
      </c>
      <c r="L66" s="142">
        <f>IF(K$41=0,"N.D.",K66/K$41)</f>
        <v>0.065990171488859</v>
      </c>
      <c r="M66" s="20">
        <f>M53+M47</f>
        <v>2900.92573</v>
      </c>
      <c r="N66" s="142">
        <f>IF(M$41=0,"N.D.",M66/M$41)</f>
        <v>0.39165128562333</v>
      </c>
      <c r="O66" s="20">
        <f>O53+O47</f>
        <v>25381.555027128</v>
      </c>
      <c r="P66" s="142">
        <f>IF(O$41=0,"N.D.",O66/O$41)</f>
        <v>0.094999052935203</v>
      </c>
    </row>
    <row r="67" spans="1:60">
      <c r="B67" s="4" t="s">
        <v>49</v>
      </c>
      <c r="C67" s="20"/>
      <c r="D67" s="142" t="str">
        <f>IF(C$41=0,"N.D.",C67/C$41)</f>
        <v>0</v>
      </c>
      <c r="E67" s="20">
        <f>division!B16+E65+E47</f>
        <v>4940.23444</v>
      </c>
      <c r="F67" s="142">
        <f>IF(E$41=0,"N.D.",E67/E$41)</f>
        <v>0.092699938520247</v>
      </c>
      <c r="G67" s="20">
        <f>+G65+G55+G47</f>
        <v>2383.383668328</v>
      </c>
      <c r="H67" s="142">
        <f>IF(G$41=0,"N.D.",G67/G$41)</f>
        <v>0.074768472183362</v>
      </c>
      <c r="I67" s="20">
        <f>+I65+I55+I47</f>
        <v>1407.478820904</v>
      </c>
      <c r="J67" s="142">
        <f>IF(I$41=0,"N.D.",I67/I$41)</f>
        <v>0.67500719705258</v>
      </c>
      <c r="K67" s="20">
        <f>+K65+K55+K47</f>
        <v>8603.264135</v>
      </c>
      <c r="L67" s="142">
        <f>IF(K$41=0,"N.D.",K67/K$41)</f>
        <v>0.04986957642106</v>
      </c>
      <c r="M67" s="20">
        <f>+M65+M55+M47</f>
        <v>2586.84624</v>
      </c>
      <c r="N67" s="142">
        <f>IF(M$41=0,"N.D.",M67/M$41)</f>
        <v>0.34924770569906</v>
      </c>
      <c r="O67" s="20">
        <f>-intereses+E67+G67+I67+K67+M67</f>
        <v>19920.207304232</v>
      </c>
      <c r="P67" s="142">
        <f>IF(O$41=0,"N.D.",O67/O$41)</f>
        <v>0.074558112225682</v>
      </c>
    </row>
    <row r="68" spans="1:60">
      <c r="B68" s="7" t="s">
        <v>50</v>
      </c>
      <c r="C68" s="34"/>
      <c r="D68" s="298" t="str">
        <f>IF(C$41=0,"N.D.",C68/C$41)</f>
        <v>0</v>
      </c>
      <c r="E68" s="34">
        <f>division!B14</f>
        <v>0</v>
      </c>
      <c r="F68" s="298">
        <f>IF(E$41=0,"N.D.",E68/E$41)</f>
        <v>0</v>
      </c>
      <c r="G68" s="34">
        <f>'mxn-dll'!N32</f>
        <v>0</v>
      </c>
      <c r="H68" s="298">
        <f>IF(G$41=0,"N.D.",G68/G$41)</f>
        <v>0</v>
      </c>
      <c r="I68" s="34">
        <f>'mxn-dll'!AC32</f>
        <v>0</v>
      </c>
      <c r="J68" s="298">
        <f>IF(I$41=0,"N.D.",I68/I$41)</f>
        <v>0</v>
      </c>
      <c r="K68" s="34">
        <f>division!E14</f>
        <v>0</v>
      </c>
      <c r="L68" s="298">
        <f>IF(K$41=0,"N.D.",K68/K$41)</f>
        <v>0</v>
      </c>
      <c r="M68" s="34">
        <f>division!F14</f>
        <v>0</v>
      </c>
      <c r="N68" s="298">
        <f>IF(M$41=0,"N.D.",M68/M$41)</f>
        <v>0</v>
      </c>
      <c r="O68" s="34">
        <f>+M68+K68+G68+E68+C68+AG50+I68+Q68</f>
        <v>0</v>
      </c>
      <c r="P68" s="298">
        <f>IF(O$41=0,"N.D.",O68/O$41)</f>
        <v>0</v>
      </c>
      <c r="Q68">
        <f>capital_acum - intereses_acum</f>
        <v>0</v>
      </c>
      <c r="R68" t="s">
        <v>51</v>
      </c>
    </row>
    <row r="69" spans="1:60">
      <c r="B69" s="4" t="s">
        <v>52</v>
      </c>
      <c r="C69" s="20"/>
      <c r="D69" s="142" t="str">
        <f>IF(C$41=0,"N.D.",C69/C$41)</f>
        <v>0</v>
      </c>
      <c r="E69" s="20">
        <f>+E67-E68</f>
        <v>4940.23444</v>
      </c>
      <c r="F69" s="142">
        <f>IF(E$41=0,"N.D.",E69/E$41)</f>
        <v>0.092699938520247</v>
      </c>
      <c r="G69" s="20">
        <f>+G67-G68</f>
        <v>2383.383668328</v>
      </c>
      <c r="H69" s="142">
        <f>IF(G$41=0,"N.D.",G69/G$41)</f>
        <v>0.074768472183362</v>
      </c>
      <c r="I69" s="20">
        <f>+I67-I68</f>
        <v>1407.478820904</v>
      </c>
      <c r="J69" s="142">
        <f>IF(I$41=0,"N.D.",I69/I$41)</f>
        <v>0.67500719705258</v>
      </c>
      <c r="K69" s="20">
        <f>+K67-K68</f>
        <v>8603.264135</v>
      </c>
      <c r="L69" s="142">
        <f>IF(K$41=0,"N.D.",K69/K$41)</f>
        <v>0.04986957642106</v>
      </c>
      <c r="M69" s="20">
        <f>+M67-M68</f>
        <v>2586.84624</v>
      </c>
      <c r="N69" s="142">
        <f>IF(M$41=0,"N.D.",M69/M$41)</f>
        <v>0.34924770569906</v>
      </c>
      <c r="O69" s="20">
        <f>+O67-O68</f>
        <v>19920.207304232</v>
      </c>
      <c r="P69" s="142">
        <f>IF(O$41=0,"N.D.",O69/O$41)</f>
        <v>0.074558112225682</v>
      </c>
    </row>
    <row r="70" spans="1:60">
      <c r="B70" s="7" t="s">
        <v>53</v>
      </c>
      <c r="C70" s="34"/>
      <c r="D70" s="298" t="str">
        <f>IF(C$41=0,"N.D.",C70/C$41)</f>
        <v>0</v>
      </c>
      <c r="E70" s="34">
        <f>division!B15</f>
        <v>0</v>
      </c>
      <c r="F70" s="298">
        <f>IF(E$41=0,"N.D.",E70/E$41)</f>
        <v>0</v>
      </c>
      <c r="G70" s="34">
        <f>'mxn-dll'!N34</f>
        <v>0</v>
      </c>
      <c r="H70" s="298">
        <f>IF(G$41=0,"N.D.",G70/G$41)</f>
        <v>0</v>
      </c>
      <c r="I70" s="34">
        <f>'mxn-dll'!AC34</f>
        <v>0</v>
      </c>
      <c r="J70" s="298">
        <f>IF(I$41=0,"N.D.",I70/I$41)</f>
        <v>0</v>
      </c>
      <c r="K70" s="34">
        <f>division!E15</f>
        <v>0</v>
      </c>
      <c r="L70" s="298">
        <f>IF(K$41=0,"N.D.",K70/K$41)</f>
        <v>0</v>
      </c>
      <c r="M70" s="34">
        <f>division!F15</f>
        <v>0</v>
      </c>
      <c r="N70" s="298">
        <f>IF(M$41=0,"N.D.",M70/M$41)</f>
        <v>0</v>
      </c>
      <c r="O70" s="34">
        <f>+G70+M70+C70+E70+K70+I70</f>
        <v>0</v>
      </c>
      <c r="P70" s="298">
        <f>IF(O$41=0,"N.D.",O70/O$41)</f>
        <v>0</v>
      </c>
    </row>
    <row r="71" spans="1:60">
      <c r="B71" s="4" t="s">
        <v>54</v>
      </c>
      <c r="C71" s="20"/>
      <c r="D71" s="142" t="str">
        <f>IF(C$41=0,"N.D.",C71/C$41)</f>
        <v>0</v>
      </c>
      <c r="E71" s="20">
        <f>+E69-E70</f>
        <v>4940.23444</v>
      </c>
      <c r="F71" s="142">
        <f>IF(E$41=0,"N.D.",E71/E$41)</f>
        <v>0.092699938520247</v>
      </c>
      <c r="G71" s="20">
        <f>+G69-G70</f>
        <v>2383.383668328</v>
      </c>
      <c r="H71" s="142">
        <f>IF(G$41=0,"N.D.",G71/G$41)</f>
        <v>0.074768472183362</v>
      </c>
      <c r="I71" s="20">
        <f>+I69-I70</f>
        <v>1407.478820904</v>
      </c>
      <c r="J71" s="142">
        <f>IF(I$41=0,"N.D.",I71/I$41)</f>
        <v>0.67500719705258</v>
      </c>
      <c r="K71" s="20">
        <f>+K69-K70</f>
        <v>8603.264135</v>
      </c>
      <c r="L71" s="142">
        <f>IF(K$41=0,"N.D.",K71/K$41)</f>
        <v>0.04986957642106</v>
      </c>
      <c r="M71" s="20">
        <f>+M69-M70</f>
        <v>2586.84624</v>
      </c>
      <c r="N71" s="142">
        <f>IF(M$41=0,"N.D.",M71/M$41)</f>
        <v>0.34924770569906</v>
      </c>
      <c r="O71" s="20">
        <f>+O69-O70</f>
        <v>19920.207304232</v>
      </c>
      <c r="P71" s="142">
        <f>IF(O$41=0,"N.D.",O71/O$41)</f>
        <v>0.074558112225682</v>
      </c>
    </row>
    <row r="72" spans="1:60">
      <c r="B72" s="36">
        <v>0</v>
      </c>
      <c r="C72" s="37"/>
      <c r="D72" s="38"/>
      <c r="E72" s="37"/>
      <c r="F72" s="38"/>
      <c r="G72" s="37"/>
      <c r="H72" s="38"/>
      <c r="I72" s="37"/>
      <c r="J72" s="38"/>
      <c r="K72" s="37"/>
      <c r="L72" s="39"/>
      <c r="M72" s="37"/>
      <c r="N72" s="38"/>
      <c r="O72" s="37"/>
      <c r="P72" s="40"/>
    </row>
    <row r="75" spans="1:60">
      <c r="B75" s="4" t="s">
        <v>58</v>
      </c>
      <c r="C75" s="7"/>
      <c r="D75" s="369" t="s">
        <v>59</v>
      </c>
      <c r="E75" s="372"/>
      <c r="F75" s="372"/>
      <c r="G75" s="372"/>
      <c r="H75" s="372"/>
      <c r="I75" s="372"/>
      <c r="J75" s="372"/>
      <c r="K75" s="372"/>
      <c r="L75" s="372"/>
      <c r="M75" s="372"/>
      <c r="N75" s="372"/>
      <c r="O75" s="372"/>
      <c r="P75" s="372"/>
      <c r="R75" s="26" t="s">
        <v>11</v>
      </c>
      <c r="S75" s="39"/>
      <c r="T75" s="39"/>
      <c r="U75" s="39"/>
      <c r="V75" s="39"/>
      <c r="W75" s="39"/>
      <c r="X75" s="7"/>
      <c r="Y75" s="39"/>
      <c r="Z75" s="7"/>
      <c r="AA75" s="38"/>
      <c r="AB75" s="39"/>
      <c r="AC75" s="39"/>
      <c r="AD75" s="39"/>
      <c r="AE75" s="41"/>
      <c r="AF75" s="40"/>
      <c r="AH75" s="26" t="s">
        <v>12</v>
      </c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</row>
    <row r="76" spans="1:60">
      <c r="B76" s="26"/>
      <c r="C76" s="2" t="s">
        <v>14</v>
      </c>
      <c r="D76" s="27"/>
      <c r="E76" s="2" t="s">
        <v>15</v>
      </c>
      <c r="F76" s="27"/>
      <c r="G76" s="2" t="s">
        <v>16</v>
      </c>
      <c r="H76" s="27"/>
      <c r="I76" s="2" t="s">
        <v>17</v>
      </c>
      <c r="J76" s="27"/>
      <c r="K76" s="28" t="s">
        <v>18</v>
      </c>
      <c r="L76" s="27"/>
      <c r="M76" s="2" t="s">
        <v>60</v>
      </c>
      <c r="N76" s="27"/>
      <c r="O76" s="2" t="s">
        <v>20</v>
      </c>
      <c r="P76" s="1"/>
      <c r="Q76" s="25"/>
      <c r="R76" s="25"/>
      <c r="S76" s="2" t="s">
        <v>14</v>
      </c>
      <c r="T76" s="27"/>
      <c r="U76" s="2" t="s">
        <v>15</v>
      </c>
      <c r="V76" s="27"/>
      <c r="W76" s="2" t="s">
        <v>16</v>
      </c>
      <c r="X76" s="27"/>
      <c r="Y76" s="2" t="s">
        <v>17</v>
      </c>
      <c r="Z76" s="27"/>
      <c r="AA76" s="28" t="s">
        <v>18</v>
      </c>
      <c r="AB76" s="27"/>
      <c r="AC76" s="2" t="s">
        <v>19</v>
      </c>
      <c r="AD76" s="27"/>
      <c r="AE76" s="2" t="s">
        <v>20</v>
      </c>
      <c r="AF76" s="1"/>
      <c r="AH76" s="25"/>
      <c r="AI76" s="2" t="s">
        <v>14</v>
      </c>
      <c r="AJ76" s="27"/>
      <c r="AK76" s="2" t="s">
        <v>15</v>
      </c>
      <c r="AL76" s="27"/>
      <c r="AM76" s="2" t="s">
        <v>16</v>
      </c>
      <c r="AN76" s="27"/>
      <c r="AO76" s="2" t="s">
        <v>17</v>
      </c>
      <c r="AP76" s="27"/>
      <c r="AQ76" s="28" t="s">
        <v>18</v>
      </c>
      <c r="AR76" s="27"/>
      <c r="AS76" s="2" t="s">
        <v>19</v>
      </c>
      <c r="AT76" s="27"/>
      <c r="AU76" s="2" t="s">
        <v>20</v>
      </c>
      <c r="AV76" s="1"/>
    </row>
    <row r="77" spans="1:60">
      <c r="B77" s="7" t="s">
        <v>26</v>
      </c>
      <c r="C77" s="8"/>
      <c r="D77" s="29" t="str">
        <f>IF(C$77=0,"N.D.",C77/C$77)</f>
        <v>0</v>
      </c>
      <c r="E77" s="8">
        <f>E4/TC_MES</f>
        <v>2635.0197653376</v>
      </c>
      <c r="F77" s="137">
        <f>IF(E$77=0,"N.D.",E77/E$77)</f>
        <v>1</v>
      </c>
      <c r="G77" s="8">
        <f>G4/TC_MES</f>
        <v>1576.12703</v>
      </c>
      <c r="H77" s="137">
        <f>IF(G$77=0,"N.D.",G77/G$77)</f>
        <v>1</v>
      </c>
      <c r="I77" s="8">
        <f>I4/TC_MES</f>
        <v>103.09776</v>
      </c>
      <c r="J77" s="137">
        <f>IF(I$77=0,"N.D.",I77/I$77)</f>
        <v>1</v>
      </c>
      <c r="K77" s="8">
        <f>K4/TC_MES</f>
        <v>8529.8882517998</v>
      </c>
      <c r="L77" s="137">
        <f>IF(K$77=0,"N.D.",K77/K$77)</f>
        <v>1</v>
      </c>
      <c r="M77" s="8">
        <f>M4/TC_MES</f>
        <v>366.22907321704</v>
      </c>
      <c r="N77" s="137">
        <f>IF(M$77=0,"N.D.",M77/M$77)</f>
        <v>1</v>
      </c>
      <c r="O77" s="8">
        <f>O4/TC_MES</f>
        <v>13210.361880354</v>
      </c>
      <c r="P77" s="137">
        <f>IF(O$77=0,"N.D.",O77/O$77)</f>
        <v>1</v>
      </c>
      <c r="Q77" s="25"/>
      <c r="R77" s="7" t="s">
        <v>26</v>
      </c>
      <c r="S77" s="8"/>
      <c r="T77" s="29"/>
      <c r="U77" s="8"/>
      <c r="V77" s="29"/>
      <c r="W77" s="8">
        <f>(BDER!K466+BDER!K489+BDER!K556+BDER!K601)/1000</f>
        <v>1400.561</v>
      </c>
      <c r="X77" s="29">
        <f>IF(W$77=0,"N.D.",W77/W$77)</f>
        <v>1</v>
      </c>
      <c r="Y77" s="8">
        <f>(BDER!K512+BDER!K534+BDER!K579+BDER!K624+BDER!K646)/1000</f>
        <v>103.875</v>
      </c>
      <c r="Z77" s="29">
        <f>IF(Y$77=0,"N.D.",Y77/Y$77)</f>
        <v>1</v>
      </c>
      <c r="AA77" s="8"/>
      <c r="AB77" s="29"/>
      <c r="AC77" s="8"/>
      <c r="AD77" s="29"/>
      <c r="AE77" s="8">
        <f>+AA77+U77+S77+AC77+W77+Y77</f>
        <v>1504.436</v>
      </c>
      <c r="AF77" s="29">
        <f>IF(AE$4=0,"N.D.",AE77/AE$4)</f>
        <v>0.008274563775338</v>
      </c>
      <c r="AH77" s="7" t="s">
        <v>26</v>
      </c>
      <c r="AI77" s="8"/>
      <c r="AJ77" s="29"/>
      <c r="AK77" s="8"/>
      <c r="AL77" s="29"/>
      <c r="AM77" s="8">
        <f>(BDER!G466+BDER!G489+BDER!G556+BDER!G601)/1000</f>
        <v>1347.00824</v>
      </c>
      <c r="AN77" s="29">
        <f>IF(AM$77=0,"N.D.",AM77/AM$77)</f>
        <v>1</v>
      </c>
      <c r="AO77" s="8">
        <f>(BDER!G512+BDER!G534+BDER!G579+BDER!G624+BDER!G646)/1000</f>
        <v>131.75091</v>
      </c>
      <c r="AP77" s="29">
        <f>IF(AO$77=0,"N.D.",AO77/AO$77)</f>
        <v>1</v>
      </c>
      <c r="AQ77" s="8"/>
      <c r="AR77" s="29"/>
      <c r="AS77" s="8"/>
      <c r="AT77" s="29"/>
      <c r="AU77" s="8">
        <f>+AQ77+AK77+AI77+AS77+AM77+AO77</f>
        <v>1478.75915</v>
      </c>
      <c r="AV77" s="29">
        <f>IF(AU$4=0,"N.D.",AU77/AU$4)</f>
        <v>0.0058509426077193</v>
      </c>
    </row>
    <row r="78" spans="1:60">
      <c r="B78" s="7" t="s">
        <v>27</v>
      </c>
      <c r="C78" s="34"/>
      <c r="D78" s="189" t="str">
        <f>IF(C$77=0,"N.D.",C78/C$77)</f>
        <v>0</v>
      </c>
      <c r="E78" s="11">
        <f>E5/TC_MES</f>
        <v>1352.8539946007</v>
      </c>
      <c r="F78" s="138">
        <f>IF(E$77=0,"N.D.",E78/E$77)</f>
        <v>0.51341322459771</v>
      </c>
      <c r="G78" s="11">
        <f>G5/TC_MES</f>
        <v>473.08705</v>
      </c>
      <c r="H78" s="138">
        <f>IF(G$77=0,"N.D.",G78/G$77)</f>
        <v>0.30015794475652</v>
      </c>
      <c r="I78" s="11">
        <f>I5/TC_MES</f>
        <v>0</v>
      </c>
      <c r="J78" s="138">
        <f>IF(I$77=0,"N.D.",I78/I$77)</f>
        <v>0</v>
      </c>
      <c r="K78" s="11">
        <f>K5/TC_MES</f>
        <v>6524.2247745342</v>
      </c>
      <c r="L78" s="138">
        <f>IF(K$77=0,"N.D.",K78/K$77)</f>
        <v>0.76486638299835</v>
      </c>
      <c r="M78" s="11">
        <f>M5/TC_MES</f>
        <v>191.65242326253</v>
      </c>
      <c r="N78" s="138">
        <f>IF(M$77=0,"N.D.",M78/M$77)</f>
        <v>0.52331296797114</v>
      </c>
      <c r="O78" s="11">
        <f>O5/TC_MES</f>
        <v>8541.8182423975</v>
      </c>
      <c r="P78" s="138">
        <f>IF(O$77=0,"N.D.",O78/O$77)</f>
        <v>0.64659986757064</v>
      </c>
      <c r="Q78" s="25"/>
      <c r="R78" s="7" t="s">
        <v>27</v>
      </c>
      <c r="S78" s="8"/>
      <c r="T78" s="42"/>
      <c r="U78" s="8"/>
      <c r="V78" s="42"/>
      <c r="W78" s="8">
        <f>(BDER!K467+BDER!K490+BDER!K557+BDER!K602)/1000</f>
        <v>438.02</v>
      </c>
      <c r="X78" s="42">
        <f>IF(W$77=0,"N.D.",W78/W$77)</f>
        <v>0.31274610673866</v>
      </c>
      <c r="Y78" s="8">
        <f>(BDER!K513+BDER!K535+BDER!K580+BDER!K625+BDER!K647)/1000</f>
        <v>0</v>
      </c>
      <c r="Z78" s="42">
        <f>IF(Y$77=0,"N.D.",Y78/Y$77)</f>
        <v>0</v>
      </c>
      <c r="AA78" s="8"/>
      <c r="AB78" s="42"/>
      <c r="AC78" s="8"/>
      <c r="AD78" s="42"/>
      <c r="AE78" s="11">
        <f>+AA78+U78+S78+AC78+W78+Y78</f>
        <v>438.02</v>
      </c>
      <c r="AF78" s="42">
        <f>IF(AE$4=0,"N.D.",AE78/AE$4)</f>
        <v>0.0024091582658708</v>
      </c>
      <c r="AH78" s="7" t="s">
        <v>27</v>
      </c>
      <c r="AI78" s="8"/>
      <c r="AJ78" s="42"/>
      <c r="AK78" s="8"/>
      <c r="AL78" s="42"/>
      <c r="AM78" s="8">
        <f>(BDER!G467+BDER!G490+BDER!G557+BDER!G602)/1000</f>
        <v>441.73607</v>
      </c>
      <c r="AN78" s="42">
        <f>IF(AM$77=0,"N.D.",AM78/AM$77)</f>
        <v>0.32793865462917</v>
      </c>
      <c r="AO78" s="8">
        <f>(BDER!G513+BDER!G535+BDER!G580+BDER!G625+BDER!G647)/1000</f>
        <v>0</v>
      </c>
      <c r="AP78" s="42">
        <f>IF(AO$77=0,"N.D.",AO78/AO$77)</f>
        <v>0</v>
      </c>
      <c r="AQ78" s="8"/>
      <c r="AR78" s="42"/>
      <c r="AS78" s="8"/>
      <c r="AT78" s="42"/>
      <c r="AU78" s="11">
        <f>+AQ78+AK78+AI78+AS78+AM78+AO78</f>
        <v>441.73607</v>
      </c>
      <c r="AV78" s="42">
        <f>IF(AU$4=0,"N.D.",AU78/AU$4)</f>
        <v>0.0017477980733573</v>
      </c>
    </row>
    <row r="79" spans="1:60">
      <c r="B79" s="4" t="s">
        <v>28</v>
      </c>
      <c r="C79" s="20"/>
      <c r="D79" s="139" t="str">
        <f>IF(C$77=0,"N.D.",C79/C$77)</f>
        <v>0</v>
      </c>
      <c r="E79" s="14">
        <f>E6/TC_MES</f>
        <v>1282.1657707369</v>
      </c>
      <c r="F79" s="139">
        <f>IF(E$77=0,"N.D.",E79/E$77)</f>
        <v>0.48658677540229</v>
      </c>
      <c r="G79" s="14">
        <f>G6/TC_MES</f>
        <v>1103.03998</v>
      </c>
      <c r="H79" s="139">
        <f>IF(G$77=0,"N.D.",G79/G$77)</f>
        <v>0.69984205524348</v>
      </c>
      <c r="I79" s="14">
        <f>I6/TC_MES</f>
        <v>103.09776</v>
      </c>
      <c r="J79" s="139">
        <f>IF(I$77=0,"N.D.",I79/I$77)</f>
        <v>1</v>
      </c>
      <c r="K79" s="14">
        <f>K6/TC_MES</f>
        <v>2005.6634772655</v>
      </c>
      <c r="L79" s="139">
        <f>IF(K$77=0,"N.D.",K79/K$77)</f>
        <v>0.23513361700165</v>
      </c>
      <c r="M79" s="14">
        <f>M6/TC_MES</f>
        <v>174.57664995451</v>
      </c>
      <c r="N79" s="139">
        <f>IF(M$77=0,"N.D.",M79/M$77)</f>
        <v>0.47668703202886</v>
      </c>
      <c r="O79" s="14">
        <f>O6/TC_MES</f>
        <v>4668.543637957</v>
      </c>
      <c r="P79" s="139">
        <f>IF(O$77=0,"N.D.",O79/O$77)</f>
        <v>0.35340013242936</v>
      </c>
      <c r="Q79" s="25"/>
      <c r="R79" s="4" t="s">
        <v>28</v>
      </c>
      <c r="S79" s="14"/>
      <c r="T79" s="43"/>
      <c r="U79" s="14"/>
      <c r="V79" s="43"/>
      <c r="W79" s="14">
        <f>W77-W78</f>
        <v>962.541</v>
      </c>
      <c r="X79" s="43">
        <f>IF(W$77=0,"N.D.",W79/W$77)</f>
        <v>0.68725389326134</v>
      </c>
      <c r="Y79" s="14">
        <f>Y77-Y78</f>
        <v>103.875</v>
      </c>
      <c r="Z79" s="43">
        <f>IF(Y$77=0,"N.D.",Y79/Y$77)</f>
        <v>1</v>
      </c>
      <c r="AA79" s="14"/>
      <c r="AB79" s="43"/>
      <c r="AC79" s="14"/>
      <c r="AD79" s="43"/>
      <c r="AE79" s="14">
        <f>AE77-AE78</f>
        <v>1066.416</v>
      </c>
      <c r="AF79" s="43">
        <f>IF(AE$4=0,"N.D.",AE79/AE$4)</f>
        <v>0.0058654055094672</v>
      </c>
      <c r="AH79" s="4" t="s">
        <v>28</v>
      </c>
      <c r="AI79" s="14"/>
      <c r="AJ79" s="43"/>
      <c r="AK79" s="14"/>
      <c r="AL79" s="43"/>
      <c r="AM79" s="14">
        <f>+AM77-AM78</f>
        <v>905.27217</v>
      </c>
      <c r="AN79" s="43">
        <f>IF(AM$77=0,"N.D.",AM79/AM$77)</f>
        <v>0.67206134537083</v>
      </c>
      <c r="AO79" s="14">
        <f>+AO77-AO78</f>
        <v>131.75091</v>
      </c>
      <c r="AP79" s="43">
        <f>IF(AO$77=0,"N.D.",AO79/AO$77)</f>
        <v>1</v>
      </c>
      <c r="AQ79" s="14"/>
      <c r="AR79" s="43"/>
      <c r="AS79" s="14"/>
      <c r="AT79" s="43"/>
      <c r="AU79" s="14">
        <f>+AQ79+AK79+AI79+AS79+AM79+AO79</f>
        <v>1037.02308</v>
      </c>
      <c r="AV79" s="43">
        <f>IF(AU$4=0,"N.D.",AU79/AU$4)</f>
        <v>0.004103144534362</v>
      </c>
    </row>
    <row r="80" spans="1:60">
      <c r="B80" s="1"/>
      <c r="C80" s="30"/>
      <c r="D80" s="140"/>
      <c r="E80" s="30"/>
      <c r="F80" s="140"/>
      <c r="G80" s="30"/>
      <c r="H80" s="140"/>
      <c r="I80" s="30"/>
      <c r="J80" s="140"/>
      <c r="K80" s="30"/>
      <c r="L80" s="140"/>
      <c r="M80" s="30"/>
      <c r="N80" s="140"/>
      <c r="O80" s="30"/>
      <c r="P80" s="140"/>
      <c r="Q80" s="25"/>
      <c r="R80" s="1"/>
      <c r="S80" s="30"/>
      <c r="T80" s="44"/>
      <c r="U80" s="30"/>
      <c r="V80" s="44"/>
      <c r="W80" s="30"/>
      <c r="X80" s="44"/>
      <c r="Y80" s="30"/>
      <c r="Z80" s="44"/>
      <c r="AA80" s="30"/>
      <c r="AB80" s="44"/>
      <c r="AC80" s="30"/>
      <c r="AD80" s="44"/>
      <c r="AE80" s="30"/>
      <c r="AF80" s="44"/>
      <c r="AH80" s="1"/>
      <c r="AI80" s="30"/>
      <c r="AJ80" s="44"/>
      <c r="AK80" s="30"/>
      <c r="AL80" s="44"/>
      <c r="AM80" s="30"/>
      <c r="AN80" s="44"/>
      <c r="AO80" s="30"/>
      <c r="AP80" s="44"/>
      <c r="AQ80" s="30"/>
      <c r="AR80" s="44"/>
      <c r="AS80" s="30"/>
      <c r="AT80" s="44"/>
      <c r="AU80" s="30"/>
      <c r="AV80" s="44"/>
    </row>
    <row r="81" spans="1:60">
      <c r="B81" s="7" t="s">
        <v>29</v>
      </c>
      <c r="C81" s="8"/>
      <c r="D81" s="141" t="str">
        <f>IF(C$77=0,"N.D.",C81/C$77)</f>
        <v>0</v>
      </c>
      <c r="E81" s="8">
        <f>E8/TC_MES</f>
        <v>635.63713856256</v>
      </c>
      <c r="F81" s="141">
        <f>IF(E$77=0,"N.D.",E81/E$77)</f>
        <v>0.24122670612344</v>
      </c>
      <c r="G81" s="8">
        <f>G8/TC_MES</f>
        <v>960.94997</v>
      </c>
      <c r="H81" s="141">
        <f>IF(G$77=0,"N.D.",G81/G$77)</f>
        <v>0.60969068590874</v>
      </c>
      <c r="I81" s="8">
        <f>I8/TC_MES</f>
        <v>21.6226</v>
      </c>
      <c r="J81" s="141">
        <f>IF(I$77=0,"N.D.",I81/I$77)</f>
        <v>0.20972909595708</v>
      </c>
      <c r="K81" s="8">
        <f>K8/TC_MES</f>
        <v>1054.7699079843</v>
      </c>
      <c r="L81" s="141">
        <f>IF(K$77=0,"N.D.",K81/K$77)</f>
        <v>0.12365577096062</v>
      </c>
      <c r="M81" s="8">
        <f>M8/TC_MES</f>
        <v>2.3917170997983</v>
      </c>
      <c r="N81" s="141">
        <f>IF(M$77=0,"N.D.",M81/M$77)</f>
        <v>0.0065306587453281</v>
      </c>
      <c r="O81" s="8">
        <f>O8/TC_MES</f>
        <v>2675.3713336466</v>
      </c>
      <c r="P81" s="141">
        <f>IF(O$77=0,"N.D.",O81/O$77)</f>
        <v>0.2025206695984</v>
      </c>
      <c r="Q81" s="25"/>
      <c r="R81" s="7" t="s">
        <v>29</v>
      </c>
      <c r="S81" s="8"/>
      <c r="T81" s="29"/>
      <c r="U81" s="8"/>
      <c r="V81" s="29"/>
      <c r="W81" s="8">
        <f>(BDER!K470+BDER!K493+BDER!K560+BDER!K605)/1000</f>
        <v>933.464</v>
      </c>
      <c r="X81" s="29">
        <f>IF(W$77=0,"N.D.",W81/W$77)</f>
        <v>0.66649292676292</v>
      </c>
      <c r="Y81" s="8">
        <f>(BDER!K515+BDER!K537+BDER!K582+BDER!K627+BDER!K649)/1000</f>
        <v>33.2</v>
      </c>
      <c r="Z81" s="29">
        <f>IF(Y$77=0,"N.D.",Y81/Y$77)</f>
        <v>0.31961492178099</v>
      </c>
      <c r="AA81" s="8"/>
      <c r="AB81" s="29"/>
      <c r="AC81" s="8"/>
      <c r="AD81" s="29"/>
      <c r="AE81" s="8">
        <f>+AA81+U81+S81+AC81+W81+Y81</f>
        <v>966.664</v>
      </c>
      <c r="AF81" s="29">
        <f>IF(AE$4=0,"N.D.",AE81/AE$4)</f>
        <v>0.0053167585176925</v>
      </c>
      <c r="AH81" s="7" t="s">
        <v>29</v>
      </c>
      <c r="AI81" s="8"/>
      <c r="AJ81" s="29"/>
      <c r="AK81" s="8"/>
      <c r="AL81" s="29"/>
      <c r="AM81" s="8">
        <f>(BDER!G470+BDER!G493+BDER!G560+BDER!G605)/1000</f>
        <v>917.85348</v>
      </c>
      <c r="AN81" s="29">
        <f>IF(AM$77=0,"N.D.",AM81/AM$77)</f>
        <v>0.68140153322299</v>
      </c>
      <c r="AO81" s="8">
        <f>(BDER!G515+BDER!G537+BDER!G582+BDER!G627+BDER!G649)/1000</f>
        <v>81.07055</v>
      </c>
      <c r="AP81" s="29">
        <f>IF(AO$77=0,"N.D.",AO81/AO$77)</f>
        <v>0.61533199277333</v>
      </c>
      <c r="AQ81" s="8"/>
      <c r="AR81" s="29"/>
      <c r="AS81" s="8"/>
      <c r="AT81" s="29"/>
      <c r="AU81" s="8">
        <f>+AQ81+AK81+AI81+AS81+AM81+AO81</f>
        <v>998.92403</v>
      </c>
      <c r="AV81" s="29">
        <f>IF(AU$4=0,"N.D.",AU81/AU$4)</f>
        <v>0.00395239966495</v>
      </c>
    </row>
    <row r="82" spans="1:60">
      <c r="B82" s="7" t="s">
        <v>30</v>
      </c>
      <c r="C82" s="11"/>
      <c r="D82" s="138" t="str">
        <f>IF(C$77=0,"N.D.",C82/C$77)</f>
        <v>0</v>
      </c>
      <c r="E82" s="11">
        <f>E9/TC_MES+E14/TC_MES+E15/TC_MES</f>
        <v>287.04275048455</v>
      </c>
      <c r="F82" s="138">
        <f>IF(E$77=0,"N.D.",E82/E$77)</f>
        <v>0.10893381304401</v>
      </c>
      <c r="G82" s="11">
        <f>G9/TC_MES+G14/TC_MES+G15/TC_MES</f>
        <v>34.37867</v>
      </c>
      <c r="H82" s="138">
        <f>IF(G$77=0,"N.D.",G82/G$77)</f>
        <v>0.021812118785882</v>
      </c>
      <c r="I82" s="11">
        <f>I9/TC_MES+I14/TC_MES+I15/TC_MES</f>
        <v>0.02339</v>
      </c>
      <c r="J82" s="138">
        <f>IF(I$77=0,"N.D.",I82/I$77)</f>
        <v>0.00022687204843248</v>
      </c>
      <c r="K82" s="11">
        <f>K9/TC_MES+K14/TC_MES+K15/TC_MES</f>
        <v>388.00478076421</v>
      </c>
      <c r="L82" s="138">
        <f>IF(K$77=0,"N.D.",K82/K$77)</f>
        <v>0.045487674552166</v>
      </c>
      <c r="M82" s="11">
        <f>M9/TC_MES+M14/TC_MES+M15/TC_MES</f>
        <v>28.750845496618</v>
      </c>
      <c r="N82" s="138">
        <f>IF(M$77=0,"N.D.",M82/M$77)</f>
        <v>0.078505087660201</v>
      </c>
      <c r="O82" s="11">
        <f>O9/TC_MES+O14/TC_MES+O15/TC_MES</f>
        <v>738.20043674538</v>
      </c>
      <c r="P82" s="138">
        <f>IF(O$77=0,"N.D.",O82/O$77)</f>
        <v>0.055880409895749</v>
      </c>
      <c r="Q82" s="25"/>
      <c r="R82" s="7" t="s">
        <v>30</v>
      </c>
      <c r="S82" s="8"/>
      <c r="T82" s="42"/>
      <c r="U82" s="8"/>
      <c r="V82" s="42"/>
      <c r="W82" s="8">
        <f>(BDER!K471+BDER!K494+BDER!K561+BDER!K606)/1000</f>
        <v>61.766</v>
      </c>
      <c r="X82" s="42">
        <f>IF(W$77=0,"N.D.",W82/W$77)</f>
        <v>0.044100899568102</v>
      </c>
      <c r="Y82" s="8">
        <f>(BDER!K516+BDER!K538+BDER!K583+BDER!K628+BDER!K650)/1000</f>
        <v>0</v>
      </c>
      <c r="Z82" s="42">
        <f>IF(Y$77=0,"N.D.",Y82/Y$77)</f>
        <v>0</v>
      </c>
      <c r="AA82" s="8"/>
      <c r="AB82" s="42"/>
      <c r="AC82" s="8"/>
      <c r="AD82" s="42"/>
      <c r="AE82" s="11">
        <f>+AA82+U82+S82+AC82+W82+Y82</f>
        <v>61.766</v>
      </c>
      <c r="AF82" s="42">
        <f>IF(AE$4=0,"N.D.",AE82/AE$4)</f>
        <v>0.00033971980605857</v>
      </c>
      <c r="AH82" s="7" t="s">
        <v>30</v>
      </c>
      <c r="AI82" s="8"/>
      <c r="AJ82" s="42"/>
      <c r="AK82" s="8"/>
      <c r="AL82" s="42"/>
      <c r="AM82" s="8">
        <f>(BDER!G471+BDER!G494+BDER!G561+BDER!G606)/1000</f>
        <v>57.0197</v>
      </c>
      <c r="AN82" s="42">
        <f>IF(AM$77=0,"N.D.",AM82/AM$77)</f>
        <v>0.04233062449566</v>
      </c>
      <c r="AO82" s="8">
        <f>(BDER!G516+BDER!G538+BDER!G583+BDER!G628+BDER!G650)/1000</f>
        <v>0.05959</v>
      </c>
      <c r="AP82" s="42">
        <f>IF(AO$77=0,"N.D.",AO82/AO$77)</f>
        <v>0.00045229289118383</v>
      </c>
      <c r="AQ82" s="8"/>
      <c r="AR82" s="42"/>
      <c r="AS82" s="8"/>
      <c r="AT82" s="42"/>
      <c r="AU82" s="11">
        <f>+AQ82+AK82+AI82+AS82+AM82+AO82</f>
        <v>57.07929</v>
      </c>
      <c r="AV82" s="42">
        <f>IF(AU$4=0,"N.D.",AU82/AU$4)</f>
        <v>0.00022584316714413</v>
      </c>
    </row>
    <row r="83" spans="1:60">
      <c r="B83" s="7" t="s">
        <v>31</v>
      </c>
      <c r="C83" s="11"/>
      <c r="D83" s="138" t="str">
        <f>IF(C$77=0,"N.D.",C83/C$77)</f>
        <v>0</v>
      </c>
      <c r="E83" s="11">
        <f>E10/TC_MES</f>
        <v>45.019660515802</v>
      </c>
      <c r="F83" s="138">
        <f>IF(E$77=0,"N.D.",E83/E$77)</f>
        <v>0.017085132000911</v>
      </c>
      <c r="G83" s="11">
        <f>G10/TC_MES</f>
        <v>18.61169</v>
      </c>
      <c r="H83" s="138">
        <f>IF(G$77=0,"N.D.",G83/G$77)</f>
        <v>0.011808496171784</v>
      </c>
      <c r="I83" s="11">
        <f>I10/TC_MES</f>
        <v>30.12433</v>
      </c>
      <c r="J83" s="138">
        <f>IF(I$77=0,"N.D.",I83/I$77)</f>
        <v>0.29219189631278</v>
      </c>
      <c r="K83" s="11">
        <f>K10/TC_MES</f>
        <v>96.011033978086</v>
      </c>
      <c r="L83" s="138">
        <f>IF(K$77=0,"N.D.",K83/K$77)</f>
        <v>0.011255837256464</v>
      </c>
      <c r="M83" s="11">
        <f>M10/TC_MES</f>
        <v>1.5785278469997</v>
      </c>
      <c r="N83" s="138">
        <f>IF(M$77=0,"N.D.",M83/M$77)</f>
        <v>0.0043102199209188</v>
      </c>
      <c r="O83" s="11">
        <f>O10/TC_MES</f>
        <v>191.34524234089</v>
      </c>
      <c r="P83" s="138">
        <f>IF(O$77=0,"N.D.",O83/O$77)</f>
        <v>0.014484481505798</v>
      </c>
      <c r="Q83" s="25"/>
      <c r="R83" s="7" t="s">
        <v>31</v>
      </c>
      <c r="S83" s="8"/>
      <c r="T83" s="42"/>
      <c r="U83" s="8"/>
      <c r="V83" s="42"/>
      <c r="W83" s="8">
        <f>(BDER!K472+BDER!K495+BDER!K562+BDER!K607)/1000</f>
        <v>13.294</v>
      </c>
      <c r="X83" s="42">
        <f>IF(W$77=0,"N.D.",W83/W$77)</f>
        <v>0.0094919107414815</v>
      </c>
      <c r="Y83" s="8">
        <f>(BDER!K517+BDER!K539+BDER!K584+BDER!K629+BDER!K651)/1000</f>
        <v>13.698</v>
      </c>
      <c r="Z83" s="42">
        <f>IF(Y$77=0,"N.D.",Y83/Y$77)</f>
        <v>0.13187003610108</v>
      </c>
      <c r="AA83" s="8"/>
      <c r="AB83" s="42"/>
      <c r="AC83" s="8"/>
      <c r="AD83" s="42"/>
      <c r="AE83" s="11">
        <f>+AA83+U83+S83+AC83+W83+Y83</f>
        <v>26.992</v>
      </c>
      <c r="AF83" s="42">
        <f>IF(AE$4=0,"N.D.",AE83/AE$4)</f>
        <v>0.00014845897427602</v>
      </c>
      <c r="AH83" s="7" t="s">
        <v>31</v>
      </c>
      <c r="AI83" s="8"/>
      <c r="AJ83" s="42"/>
      <c r="AK83" s="8"/>
      <c r="AL83" s="42"/>
      <c r="AM83" s="8">
        <f>(BDER!G472+BDER!G495+BDER!G562+BDER!G607)/1000</f>
        <v>15.52772</v>
      </c>
      <c r="AN83" s="42">
        <f>IF(AM$77=0,"N.D.",AM83/AM$77)</f>
        <v>0.011527561256789</v>
      </c>
      <c r="AO83" s="8">
        <f>(BDER!G517+BDER!G539+BDER!G584+BDER!G629+BDER!G651)/1000</f>
        <v>21.00241</v>
      </c>
      <c r="AP83" s="42">
        <f>IF(AO$77=0,"N.D.",AO83/AO$77)</f>
        <v>0.15940998054586</v>
      </c>
      <c r="AQ83" s="8"/>
      <c r="AR83" s="42"/>
      <c r="AS83" s="8"/>
      <c r="AT83" s="42"/>
      <c r="AU83" s="11">
        <f>+AQ83+AK83+AI83+AS83+AM83+AO83</f>
        <v>36.53013</v>
      </c>
      <c r="AV83" s="42">
        <f>IF(AU$4=0,"N.D.",AU83/AU$4)</f>
        <v>0.00014453719125425</v>
      </c>
    </row>
    <row r="84" spans="1:60">
      <c r="B84" s="4" t="s">
        <v>32</v>
      </c>
      <c r="C84" s="14"/>
      <c r="D84" s="139" t="str">
        <f>IF(C$77=0,"N.D.",C84/C$77)</f>
        <v>0</v>
      </c>
      <c r="E84" s="14">
        <f>E11/TC_MES</f>
        <v>967.69954956291</v>
      </c>
      <c r="F84" s="139">
        <f>IF(E$77=0,"N.D.",E84/E$77)</f>
        <v>0.36724565116836</v>
      </c>
      <c r="G84" s="14">
        <f>G11/TC_MES</f>
        <v>1013.94033</v>
      </c>
      <c r="H84" s="139">
        <f>IF(G$77=0,"N.D.",G84/G$77)</f>
        <v>0.6433113008664</v>
      </c>
      <c r="I84" s="14">
        <f>I11/TC_MES</f>
        <v>51.77032</v>
      </c>
      <c r="J84" s="139">
        <f>IF(I$77=0,"N.D.",I84/I$77)</f>
        <v>0.50214786431829</v>
      </c>
      <c r="K84" s="14">
        <f>K11/TC_MES</f>
        <v>1538.7857227266</v>
      </c>
      <c r="L84" s="139">
        <f>IF(K$77=0,"N.D.",K84/K$77)</f>
        <v>0.18039928276925</v>
      </c>
      <c r="M84" s="14">
        <f>M11/TC_MES</f>
        <v>32.721090443416</v>
      </c>
      <c r="N84" s="139">
        <f>IF(M$77=0,"N.D.",M84/M$77)</f>
        <v>0.089345966326448</v>
      </c>
      <c r="O84" s="14">
        <f>O11/TC_MES</f>
        <v>3604.9170127329</v>
      </c>
      <c r="P84" s="139">
        <f>IF(O$77=0,"N.D.",O84/O$77)</f>
        <v>0.27288556099995</v>
      </c>
      <c r="Q84" s="25"/>
      <c r="R84" s="4" t="s">
        <v>32</v>
      </c>
      <c r="S84" s="14"/>
      <c r="T84" s="43"/>
      <c r="U84" s="14"/>
      <c r="V84" s="43"/>
      <c r="W84" s="14">
        <f>SUM(W81:W83)</f>
        <v>1008.524</v>
      </c>
      <c r="X84" s="43">
        <f>IF(W$77=0,"N.D.",W84/W$77)</f>
        <v>0.7200857370725</v>
      </c>
      <c r="Y84" s="14">
        <f>SUM(Y81:Y83)</f>
        <v>46.898</v>
      </c>
      <c r="Z84" s="43">
        <f>IF(Y$77=0,"N.D.",Y84/Y$77)</f>
        <v>0.45148495788207</v>
      </c>
      <c r="AA84" s="14"/>
      <c r="AB84" s="43"/>
      <c r="AC84" s="14"/>
      <c r="AD84" s="43"/>
      <c r="AE84" s="14">
        <f>SUM(AE81:AE83)</f>
        <v>1055.422</v>
      </c>
      <c r="AF84" s="43">
        <f>IF(AE$4=0,"N.D.",AE84/AE$4)</f>
        <v>0.0058049372980271</v>
      </c>
      <c r="AH84" s="4" t="s">
        <v>32</v>
      </c>
      <c r="AI84" s="14"/>
      <c r="AJ84" s="43"/>
      <c r="AK84" s="14"/>
      <c r="AL84" s="43"/>
      <c r="AM84" s="14">
        <f>SUM(AM81:AM83)</f>
        <v>990.4009</v>
      </c>
      <c r="AN84" s="43">
        <f>IF(AM$77=0,"N.D.",AM84/AM$77)</f>
        <v>0.73525971897544</v>
      </c>
      <c r="AO84" s="14">
        <f>SUM(AO81:AO83)</f>
        <v>102.13255</v>
      </c>
      <c r="AP84" s="43">
        <f>IF(AO$77=0,"N.D.",AO84/AO$77)</f>
        <v>0.77519426621038</v>
      </c>
      <c r="AQ84" s="14"/>
      <c r="AR84" s="43"/>
      <c r="AS84" s="14"/>
      <c r="AT84" s="43"/>
      <c r="AU84" s="14">
        <f>SUM(AU81:AU83)</f>
        <v>1092.53345</v>
      </c>
      <c r="AV84" s="43">
        <f>IF(AU$4=0,"N.D.",AU84/AU$4)</f>
        <v>0.0043227800233484</v>
      </c>
    </row>
    <row r="85" spans="1:60">
      <c r="B85" s="4" t="s">
        <v>33</v>
      </c>
      <c r="C85" s="20"/>
      <c r="D85" s="142" t="str">
        <f>IF(C$77=0,"N.D.",C85/C$77)</f>
        <v>0</v>
      </c>
      <c r="E85" s="20">
        <f>E16/TC_MES</f>
        <v>314.466221174</v>
      </c>
      <c r="F85" s="142">
        <f>IF(E$77=0,"N.D.",E85/E$77)</f>
        <v>0.11934112423393</v>
      </c>
      <c r="G85" s="20">
        <f>G16/TC_MES</f>
        <v>89.09965</v>
      </c>
      <c r="H85" s="142">
        <f>IF(G$77=0,"N.D.",G85/G$77)</f>
        <v>0.056530754377076</v>
      </c>
      <c r="I85" s="20">
        <f>I16/TC_MES</f>
        <v>51.32744</v>
      </c>
      <c r="J85" s="142">
        <f>IF(I$77=0,"N.D.",I85/I$77)</f>
        <v>0.49785213568171</v>
      </c>
      <c r="K85" s="20">
        <f>K16/TC_MES</f>
        <v>466.87775453898</v>
      </c>
      <c r="L85" s="142">
        <f>IF(K$77=0,"N.D.",K85/K$77)</f>
        <v>0.054734334232394</v>
      </c>
      <c r="M85" s="20">
        <f>M16/TC_MES</f>
        <v>141.8555595111</v>
      </c>
      <c r="N85" s="142">
        <f>IF(M$77=0,"N.D.",M85/M$77)</f>
        <v>0.38734106570241</v>
      </c>
      <c r="O85" s="20">
        <f>O16/TC_MES</f>
        <v>1063.6266252241</v>
      </c>
      <c r="P85" s="142">
        <f>IF(O$77=0,"N.D.",O85/O$77)</f>
        <v>0.080514571429405</v>
      </c>
      <c r="Q85" s="25"/>
      <c r="R85" s="4" t="s">
        <v>33</v>
      </c>
      <c r="S85" s="20"/>
      <c r="T85" s="45"/>
      <c r="U85" s="20"/>
      <c r="V85" s="45"/>
      <c r="W85" s="20">
        <f>W79-W84</f>
        <v>-45.983</v>
      </c>
      <c r="X85" s="45">
        <f>IF(W$77=0,"N.D.",W85/W$77)</f>
        <v>-0.032831843811159</v>
      </c>
      <c r="Y85" s="20">
        <f>Y79-Y84</f>
        <v>56.977</v>
      </c>
      <c r="Z85" s="45">
        <f>IF(Y$77=0,"N.D.",Y85/Y$77)</f>
        <v>0.54851504211793</v>
      </c>
      <c r="AA85" s="20"/>
      <c r="AB85" s="45"/>
      <c r="AC85" s="20"/>
      <c r="AD85" s="45"/>
      <c r="AE85" s="20">
        <f>AE79-AE84</f>
        <v>10.994</v>
      </c>
      <c r="AF85" s="45">
        <f>IF(AE$4=0,"N.D.",AE85/AE$4)</f>
        <v>6.0468211440078E-5</v>
      </c>
      <c r="AH85" s="4" t="s">
        <v>33</v>
      </c>
      <c r="AI85" s="20"/>
      <c r="AJ85" s="45"/>
      <c r="AK85" s="20"/>
      <c r="AL85" s="45"/>
      <c r="AM85" s="20">
        <f>+AM79-AM84</f>
        <v>-85.12873</v>
      </c>
      <c r="AN85" s="45">
        <f>IF(AM$77=0,"N.D.",AM85/AM$77)</f>
        <v>-0.063198373604604</v>
      </c>
      <c r="AO85" s="20">
        <f>+AO79-AO84</f>
        <v>29.61836</v>
      </c>
      <c r="AP85" s="45">
        <f>IF(AO$77=0,"N.D.",AO85/AO$77)</f>
        <v>0.22480573378962</v>
      </c>
      <c r="AQ85" s="20"/>
      <c r="AR85" s="45"/>
      <c r="AS85" s="20"/>
      <c r="AT85" s="45"/>
      <c r="AU85" s="20">
        <f>+AU79-AU84</f>
        <v>-55.51037</v>
      </c>
      <c r="AV85" s="45">
        <f>IF(AU$4=0,"N.D.",AU85/AU$4)</f>
        <v>-0.00021963548898633</v>
      </c>
    </row>
    <row r="86" spans="1:60">
      <c r="B86" s="1"/>
      <c r="C86" s="30"/>
      <c r="D86" s="140"/>
      <c r="E86" s="30"/>
      <c r="F86" s="140"/>
      <c r="G86" s="30"/>
      <c r="H86" s="140"/>
      <c r="I86" s="30"/>
      <c r="J86" s="140"/>
      <c r="K86" s="30"/>
      <c r="L86" s="140"/>
      <c r="M86" s="30"/>
      <c r="N86" s="140"/>
      <c r="O86" s="30"/>
      <c r="P86" s="140"/>
      <c r="Q86" s="25"/>
      <c r="R86" s="1"/>
      <c r="S86" s="30"/>
      <c r="T86" s="44"/>
      <c r="U86" s="30"/>
      <c r="V86" s="44"/>
      <c r="W86" s="30"/>
      <c r="X86" s="44"/>
      <c r="Y86" s="30"/>
      <c r="Z86" s="44"/>
      <c r="AA86" s="30"/>
      <c r="AB86" s="44"/>
      <c r="AC86" s="30"/>
      <c r="AD86" s="44"/>
      <c r="AE86" s="30"/>
      <c r="AF86" s="44"/>
      <c r="AH86" s="1"/>
      <c r="AI86" s="30"/>
      <c r="AJ86" s="44"/>
      <c r="AK86" s="30"/>
      <c r="AL86" s="44"/>
      <c r="AM86" s="30"/>
      <c r="AN86" s="44"/>
      <c r="AO86" s="30"/>
      <c r="AP86" s="44"/>
      <c r="AQ86" s="30"/>
      <c r="AR86" s="44"/>
      <c r="AS86" s="30"/>
      <c r="AT86" s="44"/>
      <c r="AU86" s="30"/>
      <c r="AV86" s="44"/>
    </row>
    <row r="87" spans="1:60">
      <c r="B87" s="7" t="s">
        <v>36</v>
      </c>
      <c r="C87" s="8"/>
      <c r="D87" s="141" t="str">
        <f>IF(C$77=0,"N.D.",C87/C$77)</f>
        <v>0</v>
      </c>
      <c r="E87" s="8">
        <f>E18/TC_MES</f>
        <v>8.2237713104703</v>
      </c>
      <c r="F87" s="141">
        <f>IF(E$77=0,"N.D.",E87/E$77)</f>
        <v>0.0031209524188964</v>
      </c>
      <c r="G87" s="8">
        <f>G18/TC_MES</f>
        <v>0</v>
      </c>
      <c r="H87" s="141">
        <f>IF(G$77=0,"N.D.",G87/G$77)</f>
        <v>0</v>
      </c>
      <c r="I87" s="8">
        <f>I18/TC_MES</f>
        <v>0</v>
      </c>
      <c r="J87" s="141">
        <f>IF(I$77=0,"N.D.",I87/I$77)</f>
        <v>0</v>
      </c>
      <c r="K87" s="8">
        <f>K18/TC_MES</f>
        <v>37.31731488074</v>
      </c>
      <c r="L87" s="141">
        <f>IF(K$77=0,"N.D.",K87/K$77)</f>
        <v>0.0043748890699555</v>
      </c>
      <c r="M87" s="8">
        <f>M18/TC_MES</f>
        <v>0.85138147225189</v>
      </c>
      <c r="N87" s="141">
        <f>IF(M$77=0,"N.D.",M87/M$77)</f>
        <v>0.0023247238805296</v>
      </c>
      <c r="O87" s="8">
        <f>O18/TC_MES</f>
        <v>46.392467663463</v>
      </c>
      <c r="P87" s="141">
        <f>IF(O$77=0,"N.D.",O87/O$77)</f>
        <v>0.0035118241334823</v>
      </c>
      <c r="Q87" s="25"/>
      <c r="R87" s="7" t="s">
        <v>36</v>
      </c>
      <c r="S87" s="8"/>
      <c r="T87" s="29"/>
      <c r="U87" s="8"/>
      <c r="V87" s="29"/>
      <c r="W87" s="8">
        <f>(BDER!K475+BDER!K498+BDER!K565+BDER!K610)/1000</f>
        <v>0</v>
      </c>
      <c r="X87" s="29">
        <f>IF(W$77=0,"N.D.",W87/W$77)</f>
        <v>0</v>
      </c>
      <c r="Y87" s="8">
        <f>(BDER!K520+BDER!K542+BDER!K587+BDER!K632+BDER!K654)/1000</f>
        <v>0</v>
      </c>
      <c r="Z87" s="29">
        <f>IF(Y$77=0,"N.D.",Y87/Y$77)</f>
        <v>0</v>
      </c>
      <c r="AA87" s="8"/>
      <c r="AB87" s="29"/>
      <c r="AC87" s="8"/>
      <c r="AD87" s="29"/>
      <c r="AE87" s="8">
        <f>+AA87+U87+S87+AC87+W87+Y87</f>
        <v>0</v>
      </c>
      <c r="AF87" s="29">
        <f>IF(AE$4=0,"N.D.",AE87/AE$4)</f>
        <v>0</v>
      </c>
      <c r="AH87" s="7" t="s">
        <v>36</v>
      </c>
      <c r="AI87" s="8"/>
      <c r="AJ87" s="29"/>
      <c r="AK87" s="8"/>
      <c r="AL87" s="29"/>
      <c r="AM87" s="8">
        <f>(BDER!G475+BDER!G498+BDER!G565+BDER!G610)/1000</f>
        <v>0</v>
      </c>
      <c r="AN87" s="29">
        <f>IF(AM$77=0,"N.D.",AM87/AM$77)</f>
        <v>0</v>
      </c>
      <c r="AO87" s="8">
        <f>(BDER!G520+BDER!G542+BDER!G587+BDER!G632+BDER!G654)/1000</f>
        <v>0</v>
      </c>
      <c r="AP87" s="29">
        <f>IF(AO$77=0,"N.D.",AO87/AO$77)</f>
        <v>0</v>
      </c>
      <c r="AQ87" s="8"/>
      <c r="AR87" s="29"/>
      <c r="AS87" s="8"/>
      <c r="AT87" s="29"/>
      <c r="AU87" s="8">
        <f>+AQ87+AK87+AI87+AS87+AM87+AO87</f>
        <v>0</v>
      </c>
      <c r="AV87" s="29">
        <f>IF(AU$4=0,"N.D.",AU87/AU$4)</f>
        <v>0</v>
      </c>
    </row>
    <row r="88" spans="1:60">
      <c r="B88" s="7" t="s">
        <v>38</v>
      </c>
      <c r="C88" s="11"/>
      <c r="D88" s="138" t="str">
        <f>IF(C$77=0,"N.D.",C88/C$77)</f>
        <v>0</v>
      </c>
      <c r="E88" s="11">
        <f>E19/TC_MES</f>
        <v>-12.396843479293</v>
      </c>
      <c r="F88" s="138">
        <f>IF(E$77=0,"N.D.",E88/E$77)</f>
        <v>-0.0047046491424342</v>
      </c>
      <c r="G88" s="11">
        <f>G19/TC_MES</f>
        <v>-10.13327</v>
      </c>
      <c r="H88" s="138">
        <f>IF(G$77=0,"N.D.",G88/G$77)</f>
        <v>-0.0064292216345024</v>
      </c>
      <c r="I88" s="11">
        <f>I19/TC_MES</f>
        <v>0</v>
      </c>
      <c r="J88" s="138">
        <f>IF(I$77=0,"N.D.",I88/I$77)</f>
        <v>0</v>
      </c>
      <c r="K88" s="11">
        <f>K19/TC_MES</f>
        <v>-67.535274020015</v>
      </c>
      <c r="L88" s="138">
        <f>IF(K$77=0,"N.D.",K88/K$77)</f>
        <v>-0.0079174863757172</v>
      </c>
      <c r="M88" s="11">
        <f>M19/TC_MES</f>
        <v>-0.40918031327875</v>
      </c>
      <c r="N88" s="138">
        <f>IF(M$77=0,"N.D.",M88/M$77)</f>
        <v>-0.0011172797115325</v>
      </c>
      <c r="O88" s="11">
        <f>O19/TC_MES</f>
        <v>-90.474567812587</v>
      </c>
      <c r="P88" s="138">
        <f>IF(O$77=0,"N.D.",O88/O$77)</f>
        <v>-0.0068487577124692</v>
      </c>
      <c r="Q88" s="25"/>
      <c r="R88" s="7" t="s">
        <v>38</v>
      </c>
      <c r="S88" s="8"/>
      <c r="T88" s="42"/>
      <c r="U88" s="8"/>
      <c r="V88" s="42"/>
      <c r="W88" s="8">
        <f>(BDER!K476+BDER!K499+BDER!K566+BDER!K611)/1000</f>
        <v>-10.44</v>
      </c>
      <c r="X88" s="42">
        <f>IF(W$77=0,"N.D.",W88/W$77)</f>
        <v>-0.0074541558703976</v>
      </c>
      <c r="Y88" s="8">
        <f>(BDER!K521+BDER!K543+BDER!K588+BDER!K633+BDER!K655)/1000</f>
        <v>0</v>
      </c>
      <c r="Z88" s="42">
        <f>IF(Y$77=0,"N.D.",Y88/Y$77)</f>
        <v>0</v>
      </c>
      <c r="AA88" s="8"/>
      <c r="AB88" s="42"/>
      <c r="AC88" s="8"/>
      <c r="AD88" s="42"/>
      <c r="AE88" s="11">
        <f>+AA88+U88+S88+AC88+W88+Y88</f>
        <v>-10.44</v>
      </c>
      <c r="AF88" s="42">
        <f>IF(AE$4=0,"N.D.",AE88/AE$4)</f>
        <v>-5.7421150394253E-5</v>
      </c>
      <c r="AH88" s="7" t="s">
        <v>38</v>
      </c>
      <c r="AI88" s="8"/>
      <c r="AJ88" s="42"/>
      <c r="AK88" s="8"/>
      <c r="AL88" s="42"/>
      <c r="AM88" s="8">
        <f>(BDER!G476+BDER!G499+BDER!G566+BDER!G611)/1000</f>
        <v>-9.0666</v>
      </c>
      <c r="AN88" s="42">
        <f>IF(AM$77=0,"N.D.",AM88/AM$77)</f>
        <v>-0.0067309165087216</v>
      </c>
      <c r="AO88" s="8">
        <f>(BDER!G521+BDER!G543+BDER!G588+BDER!G633+BDER!G655)/1000</f>
        <v>3.14161</v>
      </c>
      <c r="AP88" s="42">
        <f>IF(AO$77=0,"N.D.",AO88/AO$77)</f>
        <v>0.023845072493237</v>
      </c>
      <c r="AQ88" s="8"/>
      <c r="AR88" s="42"/>
      <c r="AS88" s="8"/>
      <c r="AT88" s="42"/>
      <c r="AU88" s="11">
        <f>+AQ88+AK88+AI88+AS88+AM88+AO88</f>
        <v>-5.92499</v>
      </c>
      <c r="AV88" s="42">
        <f>IF(AU$4=0,"N.D.",AU88/AU$4)</f>
        <v>-2.3443152619756E-5</v>
      </c>
    </row>
    <row r="89" spans="1:60">
      <c r="B89" s="7" t="s">
        <v>39</v>
      </c>
      <c r="C89" s="11"/>
      <c r="D89" s="138" t="str">
        <f>IF(C$77=0,"N.D.",C89/C$77)</f>
        <v>0</v>
      </c>
      <c r="E89" s="11">
        <f>E20/TC_MES</f>
        <v>44.953336003323</v>
      </c>
      <c r="F89" s="138">
        <f>IF(E$77=0,"N.D.",E89/E$77)</f>
        <v>0.017059961596745</v>
      </c>
      <c r="G89" s="11">
        <f>G20/TC_MES</f>
        <v>0</v>
      </c>
      <c r="H89" s="138">
        <f>IF(G$77=0,"N.D.",G89/G$77)</f>
        <v>0</v>
      </c>
      <c r="I89" s="11">
        <f>I20/TC_MES</f>
        <v>11.86004</v>
      </c>
      <c r="J89" s="138">
        <f>IF(I$77=0,"N.D.",I89/I$77)</f>
        <v>0.1150368349419</v>
      </c>
      <c r="K89" s="11">
        <f>K20/TC_MES</f>
        <v>10.126931292275</v>
      </c>
      <c r="L89" s="138">
        <f>IF(K$77=0,"N.D.",K89/K$77)</f>
        <v>0.0011872290695178</v>
      </c>
      <c r="M89" s="11">
        <f>M20/TC_MES</f>
        <v>0.21219047901586</v>
      </c>
      <c r="N89" s="138">
        <f>IF(M$77=0,"N.D.",M89/M$77)</f>
        <v>0.00057939277499717</v>
      </c>
      <c r="O89" s="11">
        <f>O20/TC_MES</f>
        <v>67.201942021281</v>
      </c>
      <c r="P89" s="138">
        <f>IF(O$77=0,"N.D.",O89/O$77)</f>
        <v>0.0050870629154542</v>
      </c>
      <c r="Q89" s="25"/>
      <c r="R89" s="7" t="s">
        <v>39</v>
      </c>
      <c r="S89" s="8"/>
      <c r="T89" s="42"/>
      <c r="U89" s="8"/>
      <c r="V89" s="42"/>
      <c r="W89" s="8">
        <f>(BDER!K477+BDER!K500+BDER!K567+BDER!K612)/1000</f>
        <v>0</v>
      </c>
      <c r="X89" s="42">
        <f>IF(W$77=0,"N.D.",W89/W$77)</f>
        <v>0</v>
      </c>
      <c r="Y89" s="8">
        <f>(BDER!K522+BDER!K544+BDER!K589+BDER!K634+BDER!K656)/1000</f>
        <v>8.7</v>
      </c>
      <c r="Z89" s="42">
        <f>IF(Y$77=0,"N.D.",Y89/Y$77)</f>
        <v>0.083754512635379</v>
      </c>
      <c r="AA89" s="8"/>
      <c r="AB89" s="42"/>
      <c r="AC89" s="8"/>
      <c r="AD89" s="42"/>
      <c r="AE89" s="11">
        <f>+AA89+U89+S89+AC89+W89+Y89</f>
        <v>8.7</v>
      </c>
      <c r="AF89" s="42">
        <f>IF(AE$4=0,"N.D.",AE89/AE$4)</f>
        <v>4.7850958661877E-5</v>
      </c>
      <c r="AH89" s="7" t="s">
        <v>39</v>
      </c>
      <c r="AI89" s="8"/>
      <c r="AJ89" s="42"/>
      <c r="AK89" s="8"/>
      <c r="AL89" s="42"/>
      <c r="AM89" s="8">
        <f>(BDER!G477+BDER!G500+BDER!G567+BDER!G612)/1000</f>
        <v>8.5325</v>
      </c>
      <c r="AN89" s="42">
        <f>IF(AM$77=0,"N.D.",AM89/AM$77)</f>
        <v>0.0063344081696189</v>
      </c>
      <c r="AO89" s="8">
        <f>(BDER!G522+BDER!G544+BDER!G589+BDER!G634+BDER!G656)/1000</f>
        <v>40.28367</v>
      </c>
      <c r="AP89" s="42">
        <f>IF(AO$77=0,"N.D.",AO89/AO$77)</f>
        <v>0.305756294207</v>
      </c>
      <c r="AQ89" s="8"/>
      <c r="AR89" s="42"/>
      <c r="AS89" s="8"/>
      <c r="AT89" s="42"/>
      <c r="AU89" s="11">
        <f>+AQ89+AK89+AI89+AS89+AM89+AO89</f>
        <v>48.81617</v>
      </c>
      <c r="AV89" s="42">
        <f>IF(AU$4=0,"N.D.",AU89/AU$4)</f>
        <v>0.00019314883630554</v>
      </c>
    </row>
    <row r="90" spans="1:60">
      <c r="B90" s="7" t="s">
        <v>40</v>
      </c>
      <c r="C90" s="11"/>
      <c r="D90" s="138" t="str">
        <f>IF(C$77=0,"N.D.",C90/C$77)</f>
        <v>0</v>
      </c>
      <c r="E90" s="11">
        <f>E21/TC_MES</f>
        <v>1.5685059926427</v>
      </c>
      <c r="F90" s="138">
        <f>IF(E$77=0,"N.D.",E90/E$77)</f>
        <v>0.00059525397618478</v>
      </c>
      <c r="G90" s="11">
        <f>G21/TC_MES</f>
        <v>0</v>
      </c>
      <c r="H90" s="138">
        <f>IF(G$77=0,"N.D.",G90/G$77)</f>
        <v>0</v>
      </c>
      <c r="I90" s="11">
        <f>I21/TC_MES</f>
        <v>0</v>
      </c>
      <c r="J90" s="138">
        <f>IF(I$77=0,"N.D.",I90/I$77)</f>
        <v>0</v>
      </c>
      <c r="K90" s="11">
        <f>K21/TC_MES</f>
        <v>3.2171806396108</v>
      </c>
      <c r="L90" s="138">
        <f>IF(K$77=0,"N.D.",K90/K$77)</f>
        <v>0.00037716562569644</v>
      </c>
      <c r="M90" s="11">
        <f>M21/TC_MES</f>
        <v>18.430908093034</v>
      </c>
      <c r="N90" s="138">
        <f>IF(M$77=0,"N.D.",M90/M$77)</f>
        <v>0.050326174083158</v>
      </c>
      <c r="O90" s="11">
        <f>O21/TC_MES</f>
        <v>23.216594725288</v>
      </c>
      <c r="P90" s="138">
        <f>IF(O$77=0,"N.D.",O90/O$77)</f>
        <v>0.0017574533487848</v>
      </c>
      <c r="Q90" s="25"/>
      <c r="R90" s="7" t="s">
        <v>40</v>
      </c>
      <c r="S90" s="8"/>
      <c r="T90" s="42"/>
      <c r="U90" s="8"/>
      <c r="V90" s="42"/>
      <c r="W90" s="8">
        <f>(BDER!K478+BDER!K501+BDER!K568+BDER!K613)/1000</f>
        <v>0</v>
      </c>
      <c r="X90" s="42">
        <f>IF(W$77=0,"N.D.",W90/W$77)</f>
        <v>0</v>
      </c>
      <c r="Y90" s="8">
        <f>(BDER!K523+BDER!K545+BDER!K590+BDER!K635+BDER!K657)/1000</f>
        <v>0</v>
      </c>
      <c r="Z90" s="42">
        <f>IF(Y$77=0,"N.D.",Y90/Y$77)</f>
        <v>0</v>
      </c>
      <c r="AA90" s="8"/>
      <c r="AB90" s="42"/>
      <c r="AC90" s="8"/>
      <c r="AD90" s="42"/>
      <c r="AE90" s="11">
        <f>+AA90+U90+S90+AC90+W90+Y90</f>
        <v>0</v>
      </c>
      <c r="AF90" s="42">
        <f>IF(AE$4=0,"N.D.",AE90/AE$4)</f>
        <v>0</v>
      </c>
      <c r="AH90" s="7" t="s">
        <v>40</v>
      </c>
      <c r="AI90" s="8"/>
      <c r="AJ90" s="42"/>
      <c r="AK90" s="8"/>
      <c r="AL90" s="42"/>
      <c r="AM90" s="8">
        <f>(BDER!G478+BDER!G501+BDER!G568+BDER!G613)/1000</f>
        <v>0</v>
      </c>
      <c r="AN90" s="42">
        <f>IF(AM$77=0,"N.D.",AM90/AM$77)</f>
        <v>0</v>
      </c>
      <c r="AO90" s="8">
        <f>(BDER!G523+BDER!G545+BDER!G590+BDER!G635+BDER!G657)/1000</f>
        <v>0</v>
      </c>
      <c r="AP90" s="42">
        <f>IF(AO$77=0,"N.D.",AO90/AO$77)</f>
        <v>0</v>
      </c>
      <c r="AQ90" s="8"/>
      <c r="AR90" s="42"/>
      <c r="AS90" s="8"/>
      <c r="AT90" s="42"/>
      <c r="AU90" s="11">
        <f>+AQ90+AK90+AI90+AS90+AM90+AO90</f>
        <v>0</v>
      </c>
      <c r="AV90" s="42">
        <f>IF(AU$4=0,"N.D.",AU90/AU$4)</f>
        <v>0</v>
      </c>
    </row>
    <row r="91" spans="1:60">
      <c r="B91" s="7"/>
      <c r="C91" s="11"/>
      <c r="D91" s="138" t="str">
        <f>IF(C$77=0,"N.D.",C91/C$77)</f>
        <v>0</v>
      </c>
      <c r="E91" s="11">
        <f>E22/TC_MES</f>
        <v>0</v>
      </c>
      <c r="F91" s="138">
        <f>IF(E$77=0,"N.D.",E91/E$77)</f>
        <v>0</v>
      </c>
      <c r="G91" s="11">
        <f>G22/TC_MES</f>
        <v>0</v>
      </c>
      <c r="H91" s="138">
        <f>IF(G$77=0,"N.D.",G91/G$77)</f>
        <v>0</v>
      </c>
      <c r="I91" s="11">
        <f>I22/TC_MES</f>
        <v>0</v>
      </c>
      <c r="J91" s="138">
        <f>IF(I$77=0,"N.D.",I91/I$77)</f>
        <v>0</v>
      </c>
      <c r="K91" s="11">
        <f>K22/TC_MES</f>
        <v>0</v>
      </c>
      <c r="L91" s="138">
        <f>IF(K$77=0,"N.D.",K91/K$77)</f>
        <v>0</v>
      </c>
      <c r="M91" s="11">
        <f>M22/TC_MES</f>
        <v>0</v>
      </c>
      <c r="N91" s="138">
        <f>IF(M$77=0,"N.D.",M91/M$77)</f>
        <v>0</v>
      </c>
      <c r="O91" s="11">
        <f>O22/TC_MES</f>
        <v>0</v>
      </c>
      <c r="P91" s="138">
        <f>IF(O$77=0,"N.D.",O91/O$77)</f>
        <v>0</v>
      </c>
      <c r="Q91" s="25"/>
      <c r="R91" s="7"/>
      <c r="S91" s="8"/>
      <c r="T91" s="42"/>
      <c r="U91" s="8"/>
      <c r="V91" s="42"/>
      <c r="W91" s="8">
        <f>(BDER!K479+BDER!K502+BDER!K569+BDER!K614)/1000</f>
        <v>0</v>
      </c>
      <c r="X91" s="42">
        <f>IF(W$77=0,"N.D.",W91/W$77)</f>
        <v>0</v>
      </c>
      <c r="Y91" s="8">
        <f>(BDER!K524+BDER!K546+BDER!K591+BDER!K636+BDER!K658)/1000</f>
        <v>0</v>
      </c>
      <c r="Z91" s="42">
        <f>IF(Y$77=0,"N.D.",Y91/Y$77)</f>
        <v>0</v>
      </c>
      <c r="AA91" s="8"/>
      <c r="AB91" s="42"/>
      <c r="AC91" s="8"/>
      <c r="AD91" s="42"/>
      <c r="AE91" s="11">
        <f>+AA91+U91+S91+AC91+W91+Y91</f>
        <v>0</v>
      </c>
      <c r="AF91" s="42">
        <f>IF(AE$4=0,"N.D.",AE91/AE$4)</f>
        <v>0</v>
      </c>
      <c r="AH91" s="7"/>
      <c r="AI91" s="8"/>
      <c r="AJ91" s="42"/>
      <c r="AK91" s="8"/>
      <c r="AL91" s="42"/>
      <c r="AM91" s="8">
        <f>(BDER!G479+BDER!G502+BDER!G569+BDER!G614)/1000</f>
        <v>0</v>
      </c>
      <c r="AN91" s="42">
        <f>IF(AM$77=0,"N.D.",AM91/AM$77)</f>
        <v>0</v>
      </c>
      <c r="AO91" s="8">
        <f>(BDER!G524+BDER!G546+BDER!G591+BDER!G636+BDER!G658)/1000</f>
        <v>0</v>
      </c>
      <c r="AP91" s="42">
        <f>IF(AO$77=0,"N.D.",AO91/AO$77)</f>
        <v>0</v>
      </c>
      <c r="AQ91" s="8"/>
      <c r="AR91" s="42"/>
      <c r="AS91" s="8"/>
      <c r="AT91" s="42"/>
      <c r="AU91" s="11">
        <f>+AQ91+AK91+AI91+AS91+AM91+AO91</f>
        <v>0</v>
      </c>
      <c r="AV91" s="42">
        <f>IF(AU$4=0,"N.D.",AU91/AU$4)</f>
        <v>0</v>
      </c>
    </row>
    <row r="92" spans="1:60">
      <c r="B92" s="4" t="s">
        <v>41</v>
      </c>
      <c r="C92" s="14"/>
      <c r="D92" s="139" t="str">
        <f>IF(C$77=0,"N.D.",C92/C$77)</f>
        <v>0</v>
      </c>
      <c r="E92" s="14">
        <f>E23/TC_MES</f>
        <v>39.211757841858</v>
      </c>
      <c r="F92" s="139">
        <f>IF(E$77=0,"N.D.",E92/E$77)</f>
        <v>0.014881010897022</v>
      </c>
      <c r="G92" s="14">
        <f>G23/TC_MES</f>
        <v>-10.13327</v>
      </c>
      <c r="H92" s="139">
        <f>IF(G$77=0,"N.D.",G92/G$77)</f>
        <v>-0.0064292216345024</v>
      </c>
      <c r="I92" s="14">
        <f>I23/TC_MES</f>
        <v>11.86004</v>
      </c>
      <c r="J92" s="139">
        <f>IF(I$77=0,"N.D.",I92/I$77)</f>
        <v>0.1150368349419</v>
      </c>
      <c r="K92" s="14">
        <f>K23/TC_MES</f>
        <v>-23.30820848661</v>
      </c>
      <c r="L92" s="139">
        <f>IF(K$77=0,"N.D.",K92/K$77)</f>
        <v>-0.0027325338619404</v>
      </c>
      <c r="M92" s="14">
        <f>M23/TC_MES</f>
        <v>-17.776516455045</v>
      </c>
      <c r="N92" s="139">
        <f>IF(M$77=0,"N.D.",M92/M$77)</f>
        <v>-0.048539337139163</v>
      </c>
      <c r="O92" s="14">
        <f>O23/TC_MES</f>
        <v>-0.096752853130804</v>
      </c>
      <c r="P92" s="139">
        <f>IF(O$77=0,"N.D.",O92/O$77)</f>
        <v>-7.3240123175345E-6</v>
      </c>
      <c r="Q92" s="25"/>
      <c r="R92" s="4" t="s">
        <v>41</v>
      </c>
      <c r="S92" s="14"/>
      <c r="T92" s="43"/>
      <c r="U92" s="14"/>
      <c r="V92" s="43"/>
      <c r="W92" s="14">
        <f>W87+W88+W89-W90-W91</f>
        <v>-10.44</v>
      </c>
      <c r="X92" s="43">
        <f>IF(W$77=0,"N.D.",W92/W$77)</f>
        <v>-0.0074541558703976</v>
      </c>
      <c r="Y92" s="14">
        <f>Y87+Y88+Y89-Y90-Y91</f>
        <v>8.7</v>
      </c>
      <c r="Z92" s="43">
        <f>IF(Y$77=0,"N.D.",Y92/Y$77)</f>
        <v>0.083754512635379</v>
      </c>
      <c r="AA92" s="14"/>
      <c r="AB92" s="43"/>
      <c r="AC92" s="14"/>
      <c r="AD92" s="43"/>
      <c r="AE92" s="14">
        <f>AE87+AE88+AE89-AE90</f>
        <v>-1.74</v>
      </c>
      <c r="AF92" s="43">
        <f>IF(AE$4=0,"N.D.",AE92/AE$4)</f>
        <v>-9.5701917323755E-6</v>
      </c>
      <c r="AH92" s="4" t="s">
        <v>41</v>
      </c>
      <c r="AI92" s="14"/>
      <c r="AJ92" s="43"/>
      <c r="AK92" s="14"/>
      <c r="AL92" s="43"/>
      <c r="AM92" s="14">
        <f>AM87+AM88+AM89-AM90-AM91</f>
        <v>-0.5341</v>
      </c>
      <c r="AN92" s="43">
        <f>IF(AM$77=0,"N.D.",AM92/AM$77)</f>
        <v>-0.00039650833910266</v>
      </c>
      <c r="AO92" s="14">
        <f>AO87+AO88+AO89-AO90-AO91</f>
        <v>43.42528</v>
      </c>
      <c r="AP92" s="43">
        <f>IF(AO$77=0,"N.D.",AO92/AO$77)</f>
        <v>0.32960136670024</v>
      </c>
      <c r="AQ92" s="14"/>
      <c r="AR92" s="43"/>
      <c r="AS92" s="14"/>
      <c r="AT92" s="43"/>
      <c r="AU92" s="14">
        <f>AU87+AU88+AU89-AU90</f>
        <v>42.89118</v>
      </c>
      <c r="AV92" s="43">
        <f>IF(AU$4=0,"N.D.",AU92/AU$4)</f>
        <v>0.00016970568368578</v>
      </c>
    </row>
    <row r="93" spans="1:60">
      <c r="B93" s="4" t="s">
        <v>42</v>
      </c>
      <c r="C93" s="14"/>
      <c r="D93" s="139" t="str">
        <f>IF(C$77=0,"N.D.",C93/C$77)</f>
        <v>0</v>
      </c>
      <c r="E93" s="14">
        <f>E24/TC_MES</f>
        <v>275.25446333215</v>
      </c>
      <c r="F93" s="139">
        <f>IF(E$77=0,"N.D.",E93/E$77)</f>
        <v>0.1044601133369</v>
      </c>
      <c r="G93" s="14">
        <f>G24/TC_MES</f>
        <v>99.23292</v>
      </c>
      <c r="H93" s="139">
        <f>IF(G$77=0,"N.D.",G93/G$77)</f>
        <v>0.062959976011578</v>
      </c>
      <c r="I93" s="14">
        <f>I24/TC_MES</f>
        <v>39.4674</v>
      </c>
      <c r="J93" s="139">
        <f>IF(I$77=0,"N.D.",I93/I$77)</f>
        <v>0.3828153007398</v>
      </c>
      <c r="K93" s="14">
        <f>K24/TC_MES</f>
        <v>490.18596302559</v>
      </c>
      <c r="L93" s="139">
        <f>IF(K$77=0,"N.D.",K93/K$77)</f>
        <v>0.057466868094335</v>
      </c>
      <c r="M93" s="14">
        <f>M24/TC_MES</f>
        <v>159.63207596614</v>
      </c>
      <c r="N93" s="139">
        <f>IF(M$77=0,"N.D.",M93/M$77)</f>
        <v>0.43588040284158</v>
      </c>
      <c r="O93" s="14">
        <f>O24/TC_MES</f>
        <v>1063.7233780772</v>
      </c>
      <c r="P93" s="139">
        <f>IF(O$77=0,"N.D.",O93/O$77)</f>
        <v>0.080521895441722</v>
      </c>
      <c r="Q93" s="25"/>
      <c r="R93" s="4" t="s">
        <v>42</v>
      </c>
      <c r="S93" s="14"/>
      <c r="T93" s="43"/>
      <c r="U93" s="14"/>
      <c r="V93" s="43"/>
      <c r="W93" s="14">
        <f>+W85-W92</f>
        <v>-35.543</v>
      </c>
      <c r="X93" s="43">
        <f>IF(W$77=0,"N.D.",W93/W$77)</f>
        <v>-0.025377687940761</v>
      </c>
      <c r="Y93" s="14">
        <f>+Y85-Y92</f>
        <v>48.277</v>
      </c>
      <c r="Z93" s="43">
        <f>IF(Y$77=0,"N.D.",Y93/Y$77)</f>
        <v>0.46476052948255</v>
      </c>
      <c r="AA93" s="14"/>
      <c r="AB93" s="43"/>
      <c r="AC93" s="14"/>
      <c r="AD93" s="43"/>
      <c r="AE93" s="14">
        <f>+AE85-AE92</f>
        <v>12.734</v>
      </c>
      <c r="AF93" s="43">
        <f>IF(AE$4=0,"N.D.",AE93/AE$4)</f>
        <v>7.0038403172453E-5</v>
      </c>
      <c r="AH93" s="4" t="s">
        <v>42</v>
      </c>
      <c r="AI93" s="14"/>
      <c r="AJ93" s="43"/>
      <c r="AK93" s="14"/>
      <c r="AL93" s="43"/>
      <c r="AM93" s="14">
        <f>+AM85-AM92</f>
        <v>-84.59463</v>
      </c>
      <c r="AN93" s="43">
        <f>IF(AM$77=0,"N.D.",AM93/AM$77)</f>
        <v>-0.062801865265502</v>
      </c>
      <c r="AO93" s="14">
        <f>+AO85-AO92</f>
        <v>-13.80692</v>
      </c>
      <c r="AP93" s="43">
        <f>IF(AO$77=0,"N.D.",AO93/AO$77)</f>
        <v>-0.10479563291062</v>
      </c>
      <c r="AQ93" s="14"/>
      <c r="AR93" s="43"/>
      <c r="AS93" s="14"/>
      <c r="AT93" s="43"/>
      <c r="AU93" s="14">
        <f>+AU85-AU92</f>
        <v>-98.40155</v>
      </c>
      <c r="AV93" s="43">
        <f>IF(AU$4=0,"N.D.",AU93/AU$4)</f>
        <v>-0.00038934117267212</v>
      </c>
    </row>
    <row r="94" spans="1:60">
      <c r="B94" s="1"/>
      <c r="C94" s="30"/>
      <c r="D94" s="140"/>
      <c r="E94" s="30"/>
      <c r="F94" s="140"/>
      <c r="G94" s="30"/>
      <c r="H94" s="140"/>
      <c r="I94" s="30"/>
      <c r="J94" s="140"/>
      <c r="K94" s="30"/>
      <c r="L94" s="140"/>
      <c r="M94" s="30"/>
      <c r="N94" s="140"/>
      <c r="O94" s="30"/>
      <c r="P94" s="140"/>
      <c r="Q94" s="25"/>
      <c r="R94" s="1"/>
      <c r="S94" s="30"/>
      <c r="T94" s="44"/>
      <c r="U94" s="30"/>
      <c r="V94" s="44"/>
      <c r="W94" s="30"/>
      <c r="X94" s="44"/>
      <c r="Y94" s="30"/>
      <c r="Z94" s="44"/>
      <c r="AA94" s="30"/>
      <c r="AB94" s="44"/>
      <c r="AC94" s="30"/>
      <c r="AD94" s="44"/>
      <c r="AE94" s="30"/>
      <c r="AF94" s="44"/>
      <c r="AH94" s="1"/>
      <c r="AI94" s="30"/>
      <c r="AJ94" s="44"/>
      <c r="AK94" s="30"/>
      <c r="AL94" s="44"/>
      <c r="AM94" s="30"/>
      <c r="AN94" s="44"/>
      <c r="AO94" s="30"/>
      <c r="AP94" s="44"/>
      <c r="AQ94" s="30"/>
      <c r="AR94" s="44"/>
      <c r="AS94" s="30"/>
      <c r="AT94" s="44"/>
      <c r="AU94" s="30"/>
      <c r="AV94" s="44"/>
    </row>
    <row r="95" spans="1:60">
      <c r="B95" s="7" t="s">
        <v>44</v>
      </c>
      <c r="C95" s="8"/>
      <c r="D95" s="141" t="str">
        <f>IF(C$77=0,"N.D.",C95/C$77)</f>
        <v>0</v>
      </c>
      <c r="E95" s="8">
        <f>E26/TC_MES</f>
        <v>76.007953601519</v>
      </c>
      <c r="F95" s="141">
        <f>IF(E$77=0,"N.D.",E95/E$77)</f>
        <v>0.028845306817568</v>
      </c>
      <c r="G95" s="8">
        <f>G26/TC_MES</f>
        <v>0</v>
      </c>
      <c r="H95" s="141">
        <f>IF(G$77=0,"N.D.",G95/G$77)</f>
        <v>0</v>
      </c>
      <c r="I95" s="8">
        <f>I26/TC_MES</f>
        <v>0</v>
      </c>
      <c r="J95" s="141">
        <f>IF(I$77=0,"N.D.",I95/I$77)</f>
        <v>0</v>
      </c>
      <c r="K95" s="8">
        <f>K26/TC_MES</f>
        <v>198.13239784819</v>
      </c>
      <c r="L95" s="141">
        <f>IF(K$77=0,"N.D.",K95/K$77)</f>
        <v>0.023228017999694</v>
      </c>
      <c r="M95" s="8">
        <f>M26/TC_MES</f>
        <v>34.157321704047</v>
      </c>
      <c r="N95" s="141">
        <f>IF(M$77=0,"N.D.",M95/M$77)</f>
        <v>0.093267640943961</v>
      </c>
      <c r="O95" s="8">
        <f>O26/TC_MES</f>
        <v>308.29767315375</v>
      </c>
      <c r="P95" s="141">
        <f>IF(O$77=0,"N.D.",O95/O$77)</f>
        <v>0.023337564553188</v>
      </c>
      <c r="Q95" s="25"/>
      <c r="R95" s="7" t="s">
        <v>43</v>
      </c>
      <c r="S95" s="8"/>
      <c r="T95" s="29"/>
      <c r="U95" s="8"/>
      <c r="V95" s="29"/>
      <c r="W95" s="8">
        <f>(BDER!K482+BDER!K505+BDER!K572+BDER!K617)/1000</f>
        <v>0</v>
      </c>
      <c r="X95" s="29">
        <f>IF(W$77=0,"N.D.",W95/W$77)</f>
        <v>0</v>
      </c>
      <c r="Y95" s="8">
        <f>(BDER!K527+BDER!K549+BDER!K594+BDER!K639+BDER!K661)/1000</f>
        <v>0</v>
      </c>
      <c r="Z95" s="29">
        <f>IF(Y$77=0,"N.D.",Y95/Y$77)</f>
        <v>0</v>
      </c>
      <c r="AA95" s="8"/>
      <c r="AB95" s="29"/>
      <c r="AC95" s="8"/>
      <c r="AD95" s="29"/>
      <c r="AE95" s="8">
        <f>+AA95+U95+S95+AC95+W95+Y95</f>
        <v>0</v>
      </c>
      <c r="AF95" s="29">
        <f>IF(AE$4=0,"N.D.",AE95/AE$4)</f>
        <v>0</v>
      </c>
      <c r="AH95" s="7" t="s">
        <v>43</v>
      </c>
      <c r="AI95" s="8"/>
      <c r="AJ95" s="29"/>
      <c r="AK95" s="8"/>
      <c r="AL95" s="29"/>
      <c r="AM95" s="8">
        <f>(BDER!G482+BDER!G505+BDER!G572+BDER!G617)/1000</f>
        <v>0</v>
      </c>
      <c r="AN95" s="29">
        <f>IF(AM$77=0,"N.D.",AM95/AM$77)</f>
        <v>0</v>
      </c>
      <c r="AO95" s="8">
        <f>(BDER!G527+BDER!G549+BDER!G594+BDER!G639+BDER!G661)/1000</f>
        <v>0</v>
      </c>
      <c r="AP95" s="29">
        <f>IF(AO$77=0,"N.D.",AO95/AO$77)</f>
        <v>0</v>
      </c>
      <c r="AQ95" s="8"/>
      <c r="AR95" s="29"/>
      <c r="AS95" s="8"/>
      <c r="AT95" s="29"/>
      <c r="AU95" s="8">
        <f>+AQ95+AK95+AI95+AS95+AM95+AO95</f>
        <v>0</v>
      </c>
      <c r="AV95" s="29">
        <f>IF(AU$4=0,"N.D.",AU95/AU$4)</f>
        <v>0</v>
      </c>
    </row>
    <row r="96" spans="1:60">
      <c r="B96" s="7" t="s">
        <v>45</v>
      </c>
      <c r="C96" s="11"/>
      <c r="D96" s="138" t="str">
        <f>IF(C$77=0,"N.D.",C96/C$77)</f>
        <v>0</v>
      </c>
      <c r="E96" s="11">
        <f>E27/TC_MES</f>
        <v>0</v>
      </c>
      <c r="F96" s="138">
        <f>IF(E$77=0,"N.D.",E96/E$77)</f>
        <v>0</v>
      </c>
      <c r="G96" s="11">
        <f>G27/TC_MES</f>
        <v>0</v>
      </c>
      <c r="H96" s="138">
        <f>IF(G$77=0,"N.D.",G96/G$77)</f>
        <v>0</v>
      </c>
      <c r="I96" s="11">
        <f>I27/TC_MES</f>
        <v>0</v>
      </c>
      <c r="J96" s="138">
        <f>IF(I$77=0,"N.D.",I96/I$77)</f>
        <v>0</v>
      </c>
      <c r="K96" s="11">
        <f>K27/TC_MES</f>
        <v>0</v>
      </c>
      <c r="L96" s="138">
        <f>IF(K$77=0,"N.D.",K96/K$77)</f>
        <v>0</v>
      </c>
      <c r="M96" s="11">
        <f>M27/TC_MES</f>
        <v>0</v>
      </c>
      <c r="N96" s="138">
        <f>IF(M$77=0,"N.D.",M96/M$77)</f>
        <v>0</v>
      </c>
      <c r="O96" s="11">
        <f>O27/TC_MES</f>
        <v>0</v>
      </c>
      <c r="P96" s="138">
        <f>IF(O$77=0,"N.D.",O96/O$77)</f>
        <v>0</v>
      </c>
      <c r="Q96" s="25"/>
      <c r="R96" s="7" t="s">
        <v>45</v>
      </c>
      <c r="S96" s="8"/>
      <c r="T96" s="42"/>
      <c r="U96" s="8"/>
      <c r="V96" s="42"/>
      <c r="W96" s="8">
        <f>(BDER!K483+BDER!K506+BDER!K573+BDER!K618)/1000</f>
        <v>0</v>
      </c>
      <c r="X96" s="42">
        <f>IF(W$77=0,"N.D.",W96/W$77)</f>
        <v>0</v>
      </c>
      <c r="Y96" s="8">
        <f>(BDER!K528+BDER!K550+BDER!K595+BDER!K640+BDER!K662)/1000</f>
        <v>0</v>
      </c>
      <c r="Z96" s="42">
        <f>IF(Y$77=0,"N.D.",Y96/Y$77)</f>
        <v>0</v>
      </c>
      <c r="AA96" s="8"/>
      <c r="AB96" s="42"/>
      <c r="AC96" s="8"/>
      <c r="AD96" s="42"/>
      <c r="AE96" s="11">
        <f>+AA96+U96+S96+AC96+W96+Y96</f>
        <v>0</v>
      </c>
      <c r="AF96" s="42">
        <f>IF(AE$4=0,"N.D.",AE96/AE$4)</f>
        <v>0</v>
      </c>
      <c r="AH96" s="7" t="s">
        <v>45</v>
      </c>
      <c r="AI96" s="8"/>
      <c r="AJ96" s="42"/>
      <c r="AK96" s="8"/>
      <c r="AL96" s="42"/>
      <c r="AM96" s="8">
        <f>(BDER!G483+BDER!G506+BDER!G573+BDER!G618)/1000</f>
        <v>0</v>
      </c>
      <c r="AN96" s="42">
        <f>IF(AM$77=0,"N.D.",AM96/AM$77)</f>
        <v>0</v>
      </c>
      <c r="AO96" s="8">
        <f>(BDER!G528+BDER!G550+BDER!G595+BDER!G640+BDER!G662)/1000</f>
        <v>0</v>
      </c>
      <c r="AP96" s="42">
        <f>IF(AO$77=0,"N.D.",AO96/AO$77)</f>
        <v>0</v>
      </c>
      <c r="AQ96" s="8"/>
      <c r="AR96" s="42"/>
      <c r="AS96" s="8"/>
      <c r="AT96" s="42"/>
      <c r="AU96" s="11">
        <f>+AQ96+AK96+AI96+AS96+AM96+AO96</f>
        <v>0</v>
      </c>
      <c r="AV96" s="42">
        <f>IF(AU$4=0,"N.D.",AU96/AU$4)</f>
        <v>0</v>
      </c>
    </row>
    <row r="97" spans="1:60">
      <c r="B97" s="4" t="s">
        <v>47</v>
      </c>
      <c r="C97" s="14"/>
      <c r="D97" s="139" t="str">
        <f>IF(C$77=0,"N.D.",C97/C$77)</f>
        <v>0</v>
      </c>
      <c r="E97" s="14">
        <f>E28/TC_MES</f>
        <v>199.24650973063</v>
      </c>
      <c r="F97" s="139">
        <f>IF(E$77=0,"N.D.",E97/E$77)</f>
        <v>0.075614806519336</v>
      </c>
      <c r="G97" s="14">
        <f>G28/TC_MES</f>
        <v>99.23292</v>
      </c>
      <c r="H97" s="139">
        <f>IF(G$77=0,"N.D.",G97/G$77)</f>
        <v>0.062959976011578</v>
      </c>
      <c r="I97" s="14">
        <f>I28/TC_MES</f>
        <v>39.4674</v>
      </c>
      <c r="J97" s="139">
        <f>IF(I$77=0,"N.D.",I97/I$77)</f>
        <v>0.3828153007398</v>
      </c>
      <c r="K97" s="14">
        <f>K28/TC_MES</f>
        <v>292.05356517741</v>
      </c>
      <c r="L97" s="139">
        <f>IF(K$77=0,"N.D.",K97/K$77)</f>
        <v>0.03423885009464</v>
      </c>
      <c r="M97" s="14">
        <f>M28/TC_MES</f>
        <v>125.47475426209</v>
      </c>
      <c r="N97" s="139">
        <f>IF(M$77=0,"N.D.",M97/M$77)</f>
        <v>0.34261276189762</v>
      </c>
      <c r="O97" s="14">
        <f>O28/TC_MES</f>
        <v>755.42570492346</v>
      </c>
      <c r="P97" s="139">
        <f>IF(O$77=0,"N.D.",O97/O$77)</f>
        <v>0.057184330888534</v>
      </c>
      <c r="Q97" s="25"/>
      <c r="R97" s="4" t="s">
        <v>47</v>
      </c>
      <c r="S97" s="14"/>
      <c r="T97" s="43"/>
      <c r="U97" s="14"/>
      <c r="V97" s="43"/>
      <c r="W97" s="14">
        <f>+W93-W95-W96</f>
        <v>-35.543</v>
      </c>
      <c r="X97" s="43">
        <f>IF(W$77=0,"N.D.",W97/W$77)</f>
        <v>-0.025377687940761</v>
      </c>
      <c r="Y97" s="14">
        <f>+Y93-Y95-Y96</f>
        <v>48.277</v>
      </c>
      <c r="Z97" s="43">
        <f>IF(Y$77=0,"N.D.",Y97/Y$77)</f>
        <v>0.46476052948255</v>
      </c>
      <c r="AA97" s="14"/>
      <c r="AB97" s="43"/>
      <c r="AC97" s="14"/>
      <c r="AD97" s="43"/>
      <c r="AE97" s="14">
        <f>+AE93-AE95-AE96</f>
        <v>12.734</v>
      </c>
      <c r="AF97" s="43">
        <f>IF(AE$4=0,"N.D.",AE97/AE$4)</f>
        <v>7.0038403172453E-5</v>
      </c>
      <c r="AH97" s="4" t="s">
        <v>47</v>
      </c>
      <c r="AI97" s="14"/>
      <c r="AJ97" s="43"/>
      <c r="AK97" s="14"/>
      <c r="AL97" s="43"/>
      <c r="AM97" s="14">
        <f>+AM93-AM95-AM96</f>
        <v>-84.59463</v>
      </c>
      <c r="AN97" s="43">
        <f>IF(AM$77=0,"N.D.",AM97/AM$77)</f>
        <v>-0.062801865265502</v>
      </c>
      <c r="AO97" s="14">
        <f>+AO93-AO95-AO96</f>
        <v>-13.80692</v>
      </c>
      <c r="AP97" s="43">
        <f>IF(AO$77=0,"N.D.",AO97/AO$77)</f>
        <v>-0.10479563291062</v>
      </c>
      <c r="AQ97" s="14"/>
      <c r="AR97" s="43"/>
      <c r="AS97" s="14"/>
      <c r="AT97" s="43"/>
      <c r="AU97" s="14">
        <f>+AU93-AU95-AU96</f>
        <v>-98.40155</v>
      </c>
      <c r="AV97" s="43">
        <f>IF(AU$4=0,"N.D.",AU97/AU$4)</f>
        <v>-0.00038934117267212</v>
      </c>
    </row>
    <row r="98" spans="1:60">
      <c r="B98" s="4" t="s">
        <v>48</v>
      </c>
      <c r="C98" s="20"/>
      <c r="D98" s="142" t="str">
        <f>IF(C$77=0,"N.D.",C98/C$77)</f>
        <v>0</v>
      </c>
      <c r="E98" s="20">
        <f>E29/TC_MES</f>
        <v>359.48588168981</v>
      </c>
      <c r="F98" s="142">
        <f>IF(E$77=0,"N.D.",E98/E$77)</f>
        <v>0.13642625623484</v>
      </c>
      <c r="G98" s="20">
        <f>G29/TC_MES</f>
        <v>107.71134</v>
      </c>
      <c r="H98" s="142">
        <f>IF(G$77=0,"N.D.",G98/G$77)</f>
        <v>0.06833925054886</v>
      </c>
      <c r="I98" s="20">
        <f>I29/TC_MES</f>
        <v>81.45177</v>
      </c>
      <c r="J98" s="142">
        <f>IF(I$77=0,"N.D.",I98/I$77)</f>
        <v>0.79004403199449</v>
      </c>
      <c r="K98" s="20">
        <f>K29/TC_MES</f>
        <v>562.88878851707</v>
      </c>
      <c r="L98" s="142">
        <f>IF(K$77=0,"N.D.",K98/K$77)</f>
        <v>0.065990171488859</v>
      </c>
      <c r="M98" s="20">
        <f>M29/TC_MES</f>
        <v>143.4340873581</v>
      </c>
      <c r="N98" s="142">
        <f>IF(M$77=0,"N.D.",M98/M$77)</f>
        <v>0.39165128562333</v>
      </c>
      <c r="O98" s="20">
        <f>O29/TC_MES</f>
        <v>1254.971867565</v>
      </c>
      <c r="P98" s="142">
        <f>IF(O$77=0,"N.D.",O98/O$77)</f>
        <v>0.094999052935203</v>
      </c>
      <c r="Q98" s="25"/>
      <c r="R98" s="4" t="s">
        <v>48</v>
      </c>
      <c r="S98" s="20"/>
      <c r="T98" s="45"/>
      <c r="U98" s="20"/>
      <c r="V98" s="45"/>
      <c r="W98" s="20">
        <f>+W85+W83</f>
        <v>-32.689</v>
      </c>
      <c r="X98" s="45">
        <f>IF(W$77=0,"N.D.",W98/W$77)</f>
        <v>-0.023339933069677</v>
      </c>
      <c r="Y98" s="20">
        <f>+Y85+Y83</f>
        <v>70.675</v>
      </c>
      <c r="Z98" s="45">
        <f>IF(Y$77=0,"N.D.",Y98/Y$77)</f>
        <v>0.68038507821901</v>
      </c>
      <c r="AA98" s="20"/>
      <c r="AB98" s="45"/>
      <c r="AC98" s="20"/>
      <c r="AD98" s="45"/>
      <c r="AE98" s="20">
        <f>+AE85+AE83</f>
        <v>37.986</v>
      </c>
      <c r="AF98" s="45">
        <f>IF(AE$4=0,"N.D.",AE98/AE$4)</f>
        <v>0.0002089271857161</v>
      </c>
      <c r="AH98" s="4" t="s">
        <v>48</v>
      </c>
      <c r="AI98" s="20"/>
      <c r="AJ98" s="45"/>
      <c r="AK98" s="20"/>
      <c r="AL98" s="45"/>
      <c r="AM98" s="20">
        <f>+AM85+AM83</f>
        <v>-69.60101</v>
      </c>
      <c r="AN98" s="45">
        <f>IF(AM$77=0,"N.D.",AM98/AM$77)</f>
        <v>-0.051670812347815</v>
      </c>
      <c r="AO98" s="20">
        <f>+AO85+AO83</f>
        <v>50.62077</v>
      </c>
      <c r="AP98" s="45">
        <f>IF(AO$77=0,"N.D.",AO98/AO$77)</f>
        <v>0.38421571433548</v>
      </c>
      <c r="AQ98" s="20"/>
      <c r="AR98" s="45"/>
      <c r="AS98" s="20"/>
      <c r="AT98" s="45"/>
      <c r="AU98" s="20">
        <f>+AU85+AU83</f>
        <v>-18.98024</v>
      </c>
      <c r="AV98" s="45">
        <f>IF(AU$4=0,"N.D.",AU98/AU$4)</f>
        <v>-7.5098297732082E-5</v>
      </c>
    </row>
    <row r="99" spans="1:60">
      <c r="B99" s="4" t="s">
        <v>49</v>
      </c>
      <c r="C99" s="20"/>
      <c r="D99" s="142" t="str">
        <f>IF(C$77=0,"N.D.",C99/C$77)</f>
        <v>0</v>
      </c>
      <c r="E99" s="20">
        <f>E30/TC_MES</f>
        <v>244.26617024643</v>
      </c>
      <c r="F99" s="142">
        <f>IF(E$77=0,"N.D.",E99/E$77)</f>
        <v>0.092699938520247</v>
      </c>
      <c r="G99" s="20">
        <f>G30/TC_MES</f>
        <v>117.84461</v>
      </c>
      <c r="H99" s="142">
        <f>IF(G$77=0,"N.D.",G99/G$77)</f>
        <v>0.074768472183362</v>
      </c>
      <c r="I99" s="20">
        <f>I30/TC_MES</f>
        <v>69.59173</v>
      </c>
      <c r="J99" s="142">
        <f>IF(I$77=0,"N.D.",I99/I$77)</f>
        <v>0.67500719705258</v>
      </c>
      <c r="K99" s="20">
        <f>K30/TC_MES</f>
        <v>425.38191403623</v>
      </c>
      <c r="L99" s="142">
        <f>IF(K$77=0,"N.D.",K99/K$77)</f>
        <v>0.04986957642106</v>
      </c>
      <c r="M99" s="20">
        <f>M30/TC_MES</f>
        <v>127.90466358135</v>
      </c>
      <c r="N99" s="142">
        <f>IF(M$77=0,"N.D.",M99/M$77)</f>
        <v>0.34924770569906</v>
      </c>
      <c r="O99" s="20">
        <f>O30/TC_MES</f>
        <v>984.93964361734</v>
      </c>
      <c r="P99" s="142">
        <f>IF(O$77=0,"N.D.",O99/O$77)</f>
        <v>0.074558112225682</v>
      </c>
      <c r="Q99" s="25"/>
      <c r="R99" s="25"/>
    </row>
    <row r="100" spans="1:60">
      <c r="B100" s="7" t="s">
        <v>50</v>
      </c>
      <c r="C100" s="20"/>
      <c r="D100" s="142" t="str">
        <f>IF(C$77=0,"N.D.",C100/C$77)</f>
        <v>0</v>
      </c>
      <c r="E100" s="20">
        <f>E31/TC_MES</f>
        <v>0</v>
      </c>
      <c r="F100" s="142">
        <f>IF(E$77=0,"N.D.",E100/E$77)</f>
        <v>0</v>
      </c>
      <c r="G100" s="20">
        <f>G31/TC_MES</f>
        <v>0</v>
      </c>
      <c r="H100" s="142">
        <f>IF(G$77=0,"N.D.",G100/G$77)</f>
        <v>0</v>
      </c>
      <c r="I100" s="20">
        <f>I31/TC_MES</f>
        <v>0</v>
      </c>
      <c r="J100" s="142">
        <f>IF(I$77=0,"N.D.",I100/I$77)</f>
        <v>0</v>
      </c>
      <c r="K100" s="20">
        <f>K31/TC_MES</f>
        <v>0</v>
      </c>
      <c r="L100" s="142">
        <f>IF(K$77=0,"N.D.",K100/K$77)</f>
        <v>0</v>
      </c>
      <c r="M100" s="20">
        <f>M31/TC_MES</f>
        <v>0</v>
      </c>
      <c r="N100" s="142">
        <f>IF(M$77=0,"N.D.",M100/M$77)</f>
        <v>0</v>
      </c>
      <c r="O100" s="20">
        <f>O31/TC_MES</f>
        <v>0</v>
      </c>
      <c r="P100" s="142">
        <f>IF(O$77=0,"N.D.",O100/O$77)</f>
        <v>0</v>
      </c>
      <c r="Q100" s="25"/>
      <c r="R100" s="25"/>
    </row>
    <row r="101" spans="1:60">
      <c r="B101" s="4" t="s">
        <v>52</v>
      </c>
      <c r="C101" s="20"/>
      <c r="D101" s="142" t="str">
        <f>IF(C$77=0,"N.D.",C101/C$77)</f>
        <v>0</v>
      </c>
      <c r="E101" s="20">
        <f>E32/TC_MES</f>
        <v>244.26617024643</v>
      </c>
      <c r="F101" s="142">
        <f>IF(E$77=0,"N.D.",E101/E$77)</f>
        <v>0.092699938520247</v>
      </c>
      <c r="G101" s="20">
        <f>G32/TC_MES</f>
        <v>117.84461</v>
      </c>
      <c r="H101" s="142">
        <f>IF(G$77=0,"N.D.",G101/G$77)</f>
        <v>0.074768472183362</v>
      </c>
      <c r="I101" s="20">
        <f>I32/TC_MES</f>
        <v>69.59173</v>
      </c>
      <c r="J101" s="142">
        <f>IF(I$77=0,"N.D.",I101/I$77)</f>
        <v>0.67500719705258</v>
      </c>
      <c r="K101" s="20">
        <f>K32/TC_MES</f>
        <v>425.38191403623</v>
      </c>
      <c r="L101" s="142">
        <f>IF(K$77=0,"N.D.",K101/K$77)</f>
        <v>0.04986957642106</v>
      </c>
      <c r="M101" s="20">
        <f>M32/TC_MES</f>
        <v>127.90466358135</v>
      </c>
      <c r="N101" s="142">
        <f>IF(M$77=0,"N.D.",M101/M$77)</f>
        <v>0.34924770569906</v>
      </c>
      <c r="O101" s="20">
        <f>O32/TC_MES</f>
        <v>984.93964361734</v>
      </c>
      <c r="P101" s="142">
        <f>IF(O$77=0,"N.D.",O101/O$77)</f>
        <v>0.074558112225682</v>
      </c>
      <c r="Q101" s="25"/>
      <c r="R101" s="25"/>
    </row>
    <row r="102" spans="1:60">
      <c r="B102" s="7" t="s">
        <v>53</v>
      </c>
      <c r="C102" s="20"/>
      <c r="D102" s="142" t="str">
        <f>IF(C$77=0,"N.D.",C102/C$77)</f>
        <v>0</v>
      </c>
      <c r="E102" s="20">
        <f>E33/TC_MES</f>
        <v>0</v>
      </c>
      <c r="F102" s="142">
        <f>IF(E$77=0,"N.D.",E102/E$77)</f>
        <v>0</v>
      </c>
      <c r="G102" s="20">
        <f>G33/TC_MES</f>
        <v>0</v>
      </c>
      <c r="H102" s="142">
        <f>IF(G$77=0,"N.D.",G102/G$77)</f>
        <v>0</v>
      </c>
      <c r="I102" s="20">
        <f>I33/TC_MES</f>
        <v>0</v>
      </c>
      <c r="J102" s="142">
        <f>IF(I$77=0,"N.D.",I102/I$77)</f>
        <v>0</v>
      </c>
      <c r="K102" s="20">
        <f>K33/TC_MES</f>
        <v>0</v>
      </c>
      <c r="L102" s="142">
        <f>IF(K$77=0,"N.D.",K102/K$77)</f>
        <v>0</v>
      </c>
      <c r="M102" s="20">
        <f>M33/TC_MES</f>
        <v>0</v>
      </c>
      <c r="N102" s="142">
        <f>IF(M$77=0,"N.D.",M102/M$77)</f>
        <v>0</v>
      </c>
      <c r="O102" s="20">
        <f>O33/TC_MES</f>
        <v>0</v>
      </c>
      <c r="P102" s="142">
        <f>IF(O$77=0,"N.D.",O102/O$77)</f>
        <v>0</v>
      </c>
      <c r="Q102" s="25"/>
      <c r="R102" s="25"/>
    </row>
    <row r="103" spans="1:60">
      <c r="B103" s="4" t="s">
        <v>54</v>
      </c>
      <c r="C103" s="20"/>
      <c r="D103" s="142" t="str">
        <f>IF(C$77=0,"N.D.",C103/C$77)</f>
        <v>0</v>
      </c>
      <c r="E103" s="20">
        <f>E34/TC_MES</f>
        <v>244.26617024643</v>
      </c>
      <c r="F103" s="142">
        <f>IF(E$77=0,"N.D.",E103/E$77)</f>
        <v>0.092699938520247</v>
      </c>
      <c r="G103" s="20">
        <f>G34/TC_MES</f>
        <v>117.84461</v>
      </c>
      <c r="H103" s="142">
        <f>IF(G$77=0,"N.D.",G103/G$77)</f>
        <v>0.074768472183362</v>
      </c>
      <c r="I103" s="20">
        <f>I34/TC_MES</f>
        <v>69.59173</v>
      </c>
      <c r="J103" s="142">
        <f>IF(I$77=0,"N.D.",I103/I$77)</f>
        <v>0.67500719705258</v>
      </c>
      <c r="K103" s="20">
        <f>K34/TC_MES</f>
        <v>425.38191403623</v>
      </c>
      <c r="L103" s="142">
        <f>IF(K$77=0,"N.D.",K103/K$77)</f>
        <v>0.04986957642106</v>
      </c>
      <c r="M103" s="20">
        <f>M34/TC_MES</f>
        <v>127.90466358135</v>
      </c>
      <c r="N103" s="142">
        <f>IF(M$77=0,"N.D.",M103/M$77)</f>
        <v>0.34924770569906</v>
      </c>
      <c r="O103" s="20">
        <f>O34/TC_MES</f>
        <v>984.93964361734</v>
      </c>
      <c r="P103" s="142">
        <f>IF(O$77=0,"N.D.",O103/O$77)</f>
        <v>0.074558112225682</v>
      </c>
      <c r="Q103" s="25"/>
      <c r="R103" s="25"/>
    </row>
    <row r="104" spans="1:60">
      <c r="B104" s="7"/>
      <c r="C104" s="143"/>
      <c r="D104" s="144"/>
      <c r="E104" s="143"/>
      <c r="F104" s="144"/>
      <c r="G104" s="143"/>
      <c r="H104" s="144"/>
      <c r="I104" s="143"/>
      <c r="J104" s="144"/>
      <c r="K104" s="143"/>
      <c r="L104" s="144"/>
      <c r="M104" s="143"/>
      <c r="N104" s="144"/>
      <c r="O104" s="143"/>
      <c r="P104" s="25"/>
      <c r="Q104" s="25"/>
      <c r="R104" s="25"/>
    </row>
    <row r="106" spans="1:60">
      <c r="B106" t="s">
        <v>61</v>
      </c>
    </row>
    <row r="107" spans="1:60" customHeight="1" ht="14.5">
      <c r="B107" s="26" t="s">
        <v>62</v>
      </c>
      <c r="C107" s="7"/>
      <c r="D107" s="369" t="s">
        <v>63</v>
      </c>
      <c r="E107" s="369"/>
      <c r="F107" s="369"/>
      <c r="G107" s="369"/>
      <c r="H107" s="369"/>
      <c r="I107" s="369"/>
      <c r="J107" s="369"/>
      <c r="K107" s="369"/>
      <c r="L107" s="369"/>
      <c r="M107" s="369"/>
      <c r="N107" s="369"/>
      <c r="O107" s="369"/>
      <c r="P107" s="369"/>
      <c r="R107" s="26" t="s">
        <v>55</v>
      </c>
      <c r="S107" s="39"/>
      <c r="T107" s="39"/>
      <c r="U107" s="39"/>
      <c r="V107" s="39"/>
      <c r="W107" s="39"/>
      <c r="X107" s="7"/>
      <c r="Y107" s="39"/>
      <c r="Z107" s="7"/>
      <c r="AA107" s="38"/>
      <c r="AB107" s="39"/>
      <c r="AC107" s="39"/>
      <c r="AD107" s="39"/>
      <c r="AE107" s="41"/>
      <c r="AF107" s="40"/>
      <c r="AH107" s="26" t="s">
        <v>56</v>
      </c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</row>
    <row r="108" spans="1:60">
      <c r="B108" s="26"/>
      <c r="C108" s="2" t="s">
        <v>14</v>
      </c>
      <c r="D108" s="27"/>
      <c r="E108" s="2" t="s">
        <v>15</v>
      </c>
      <c r="F108" s="27"/>
      <c r="G108" s="2" t="s">
        <v>16</v>
      </c>
      <c r="H108" s="27"/>
      <c r="I108" s="2" t="s">
        <v>17</v>
      </c>
      <c r="J108" s="27"/>
      <c r="K108" s="28" t="s">
        <v>18</v>
      </c>
      <c r="L108" s="27"/>
      <c r="M108" s="2" t="s">
        <v>60</v>
      </c>
      <c r="N108" s="27"/>
      <c r="O108" s="2" t="s">
        <v>20</v>
      </c>
      <c r="P108" s="1"/>
      <c r="R108" s="25"/>
      <c r="S108" s="2" t="s">
        <v>14</v>
      </c>
      <c r="T108" s="27"/>
      <c r="U108" s="2" t="s">
        <v>15</v>
      </c>
      <c r="V108" s="27"/>
      <c r="W108" s="2" t="s">
        <v>16</v>
      </c>
      <c r="X108" s="27"/>
      <c r="Y108" s="2" t="s">
        <v>17</v>
      </c>
      <c r="Z108" s="27"/>
      <c r="AA108" s="28" t="s">
        <v>18</v>
      </c>
      <c r="AB108" s="27"/>
      <c r="AC108" s="2" t="s">
        <v>19</v>
      </c>
      <c r="AD108" s="27"/>
      <c r="AE108" s="2" t="s">
        <v>20</v>
      </c>
      <c r="AF108" s="1"/>
      <c r="AH108" s="25"/>
      <c r="AI108" s="2" t="s">
        <v>14</v>
      </c>
      <c r="AJ108" s="27"/>
      <c r="AK108" s="2" t="s">
        <v>15</v>
      </c>
      <c r="AL108" s="27"/>
      <c r="AM108" s="2" t="s">
        <v>16</v>
      </c>
      <c r="AN108" s="27"/>
      <c r="AO108" s="2" t="s">
        <v>17</v>
      </c>
      <c r="AP108" s="27"/>
      <c r="AQ108" s="28" t="s">
        <v>18</v>
      </c>
      <c r="AR108" s="27"/>
      <c r="AS108" s="2" t="s">
        <v>19</v>
      </c>
      <c r="AT108" s="27"/>
      <c r="AU108" s="2" t="s">
        <v>20</v>
      </c>
      <c r="AV108" s="1"/>
    </row>
    <row r="109" spans="1:60">
      <c r="B109" s="7" t="s">
        <v>26</v>
      </c>
      <c r="C109" s="8"/>
      <c r="D109" s="29" t="str">
        <f>IF(C$109=0,"N.D.",C109/C$109)</f>
        <v>0</v>
      </c>
      <c r="E109" s="8">
        <f>E41/TC_PROM</f>
        <v>2635.0197653376</v>
      </c>
      <c r="F109" s="137">
        <f>IF(E$109=0,"N.D.",E109/E$109)</f>
        <v>1</v>
      </c>
      <c r="G109" s="8">
        <f>G41/TC_PROM</f>
        <v>1576.12703</v>
      </c>
      <c r="H109" s="137">
        <f>IF(G$109=0,"N.D.",G109/G$109)</f>
        <v>1</v>
      </c>
      <c r="I109" s="8">
        <f>I41/TC_PROM</f>
        <v>103.09776</v>
      </c>
      <c r="J109" s="137">
        <f>IF(I$109=0,"N.D.",I109/I$109)</f>
        <v>1</v>
      </c>
      <c r="K109" s="8">
        <f>K41/TC_PROM</f>
        <v>8529.8882517998</v>
      </c>
      <c r="L109" s="137">
        <f>IF(K$109=0,"N.D.",K109/K$109)</f>
        <v>1</v>
      </c>
      <c r="M109" s="8">
        <f>M41/TC_PROM</f>
        <v>366.22907321704</v>
      </c>
      <c r="N109" s="137">
        <f>IF(M$109=0,"N.D.",M109/M$109)</f>
        <v>1</v>
      </c>
      <c r="O109" s="8">
        <f>O41/TC_PROM</f>
        <v>13210.361880354</v>
      </c>
      <c r="P109" s="137">
        <f>IF(O$109=0,"N.D.",O109/O$109)</f>
        <v>1</v>
      </c>
      <c r="R109" s="7" t="s">
        <v>26</v>
      </c>
      <c r="S109" s="8"/>
      <c r="T109" s="29"/>
      <c r="U109" s="8"/>
      <c r="V109" s="29"/>
      <c r="W109" s="8">
        <f>(BDER!L466+BDER!L489+BDER!L556+BDER!L601)/1000</f>
        <v>1400.561</v>
      </c>
      <c r="X109" s="29">
        <f>IF(W$109=0,"N.D.",W109/W$109)</f>
        <v>1</v>
      </c>
      <c r="Y109" s="8">
        <f>(BDER!L512+BDER!L534+BDER!L579+BDER!L624+BDER!L646)/1000</f>
        <v>103.875</v>
      </c>
      <c r="Z109" s="29">
        <f>IF(Y$109=0,"N.D.",Y109/Y$109)</f>
        <v>1</v>
      </c>
      <c r="AA109" s="8"/>
      <c r="AB109" s="29"/>
      <c r="AC109" s="8"/>
      <c r="AD109" s="29"/>
      <c r="AE109" s="8">
        <f>+AA109+U109+S109+AC109+W109+Y109</f>
        <v>1504.436</v>
      </c>
      <c r="AF109" s="29">
        <f>IF(AE$41=0,"N.D.",AE109/AE$41)</f>
        <v>0.008274563775338</v>
      </c>
      <c r="AH109" s="7" t="s">
        <v>26</v>
      </c>
      <c r="AI109" s="8"/>
      <c r="AJ109" s="29"/>
      <c r="AK109" s="8"/>
      <c r="AL109" s="29"/>
      <c r="AM109" s="8">
        <f>(BDER!H466+BDER!H489+BDER!H556+BDER!H601)/1000</f>
        <v>1347.00824</v>
      </c>
      <c r="AN109" s="29">
        <f>IF(AM$109=0,"N.D.",AM109/AM$109)</f>
        <v>1</v>
      </c>
      <c r="AO109" s="8">
        <f>(BDER!H512+BDER!H534+BDER!H579+BDER!H624+BDER!H646)/1000</f>
        <v>131.75091</v>
      </c>
      <c r="AP109" s="29">
        <f>IF(AO$109=0,"N.D.",AO109/AO$109)</f>
        <v>1</v>
      </c>
      <c r="AQ109" s="8"/>
      <c r="AR109" s="29"/>
      <c r="AS109" s="8"/>
      <c r="AT109" s="29"/>
      <c r="AU109" s="8">
        <f>+AQ109+AK109+AI109+AS109+AM109+AO109</f>
        <v>1478.75915</v>
      </c>
      <c r="AV109" s="29">
        <f>IF(AU$41=0,"N.D.",AU109/AU$41)</f>
        <v>0.0058509426077193</v>
      </c>
    </row>
    <row r="110" spans="1:60">
      <c r="B110" s="7" t="s">
        <v>27</v>
      </c>
      <c r="C110" s="11"/>
      <c r="D110" s="138" t="str">
        <f>IF(C$109=0,"N.D.",C110/C$109)</f>
        <v>0</v>
      </c>
      <c r="E110" s="11">
        <f>E42/TC_PROM</f>
        <v>1352.8539946007</v>
      </c>
      <c r="F110" s="138">
        <f>IF(E$109=0,"N.D.",E110/E$109)</f>
        <v>0.51341322459771</v>
      </c>
      <c r="G110" s="11">
        <f>G42/TC_PROM</f>
        <v>473.08705</v>
      </c>
      <c r="H110" s="138">
        <f>IF(G$109=0,"N.D.",G110/G$109)</f>
        <v>0.30015794475652</v>
      </c>
      <c r="I110" s="11">
        <f>I42/TC_PROM</f>
        <v>0</v>
      </c>
      <c r="J110" s="138">
        <f>IF(I$109=0,"N.D.",I110/I$109)</f>
        <v>0</v>
      </c>
      <c r="K110" s="11">
        <f>K42/TC_PROM</f>
        <v>6524.2247745342</v>
      </c>
      <c r="L110" s="138">
        <f>IF(K$109=0,"N.D.",K110/K$109)</f>
        <v>0.76486638299835</v>
      </c>
      <c r="M110" s="11">
        <f>M42/TC_PROM</f>
        <v>191.65242326253</v>
      </c>
      <c r="N110" s="138">
        <f>IF(M$109=0,"N.D.",M110/M$109)</f>
        <v>0.52331296797114</v>
      </c>
      <c r="O110" s="11">
        <f>O42/TC_PROM</f>
        <v>8541.8182423975</v>
      </c>
      <c r="P110" s="138">
        <f>IF(O$109=0,"N.D.",O110/O$109)</f>
        <v>0.64659986757064</v>
      </c>
      <c r="R110" s="7" t="s">
        <v>27</v>
      </c>
      <c r="S110" s="8"/>
      <c r="T110" s="42"/>
      <c r="U110" s="8"/>
      <c r="V110" s="42"/>
      <c r="W110" s="8">
        <f>(BDER!L467+BDER!L490+BDER!L557+BDER!L602)/1000</f>
        <v>438.02</v>
      </c>
      <c r="X110" s="42">
        <f>IF(W$109=0,"N.D.",W110/W$109)</f>
        <v>0.31274610673866</v>
      </c>
      <c r="Y110" s="8">
        <f>(BDER!L513+BDER!L535+BDER!L580+BDER!L625+BDER!L647)/1000</f>
        <v>0</v>
      </c>
      <c r="Z110" s="42">
        <f>IF(Y$109=0,"N.D.",Y110/Y$109)</f>
        <v>0</v>
      </c>
      <c r="AA110" s="8"/>
      <c r="AB110" s="42"/>
      <c r="AC110" s="8"/>
      <c r="AD110" s="42"/>
      <c r="AE110" s="11">
        <f>+AA110+U110+S110+AC110+W110+Y110</f>
        <v>438.02</v>
      </c>
      <c r="AF110" s="42">
        <f>IF(AE$41=0,"N.D.",AE110/AE$41)</f>
        <v>0.0024091582658708</v>
      </c>
      <c r="AH110" s="7" t="s">
        <v>27</v>
      </c>
      <c r="AI110" s="8"/>
      <c r="AJ110" s="42"/>
      <c r="AK110" s="8"/>
      <c r="AL110" s="42"/>
      <c r="AM110" s="8">
        <f>(BDER!H467+BDER!H490+BDER!H557+BDER!H602)/1000</f>
        <v>441.73607</v>
      </c>
      <c r="AN110" s="29">
        <f>IF(AM$109=0,"N.D.",AM110/AM$109)</f>
        <v>0.32793865462917</v>
      </c>
      <c r="AO110" s="8">
        <f>(BDER!H513+BDER!H535+BDER!H580+BDER!H625+BDER!H647)/1000</f>
        <v>0</v>
      </c>
      <c r="AP110" s="42">
        <f>IF(AO$109=0,"N.D.",AO110/AO$109)</f>
        <v>0</v>
      </c>
      <c r="AQ110" s="8"/>
      <c r="AR110" s="42"/>
      <c r="AS110" s="8"/>
      <c r="AT110" s="42"/>
      <c r="AU110" s="11">
        <f>+AQ110+AK110+AI110+AS110+AM110+AO110</f>
        <v>441.73607</v>
      </c>
      <c r="AV110" s="42">
        <f>IF(AU$41=0,"N.D.",AU110/AU$41)</f>
        <v>0.0017477980733573</v>
      </c>
    </row>
    <row r="111" spans="1:60">
      <c r="B111" s="4" t="s">
        <v>28</v>
      </c>
      <c r="C111" s="14"/>
      <c r="D111" s="139" t="str">
        <f>IF(C$109=0,"N.D.",C111/C$109)</f>
        <v>0</v>
      </c>
      <c r="E111" s="14">
        <f>E43/TC_PROM</f>
        <v>1282.1657707369</v>
      </c>
      <c r="F111" s="139">
        <f>IF(E$109=0,"N.D.",E111/E$109)</f>
        <v>0.48658677540229</v>
      </c>
      <c r="G111" s="14">
        <f>G43/TC_PROM</f>
        <v>1103.03998</v>
      </c>
      <c r="H111" s="139">
        <f>IF(G$109=0,"N.D.",G111/G$109)</f>
        <v>0.69984205524348</v>
      </c>
      <c r="I111" s="14">
        <f>I43/TC_PROM</f>
        <v>103.09776</v>
      </c>
      <c r="J111" s="139">
        <f>IF(I$109=0,"N.D.",I111/I$109)</f>
        <v>1</v>
      </c>
      <c r="K111" s="14">
        <f>K43/TC_PROM</f>
        <v>2005.6634772655</v>
      </c>
      <c r="L111" s="139">
        <f>IF(K$109=0,"N.D.",K111/K$109)</f>
        <v>0.23513361700165</v>
      </c>
      <c r="M111" s="14">
        <f>M43/TC_PROM</f>
        <v>174.57664995451</v>
      </c>
      <c r="N111" s="139">
        <f>IF(M$109=0,"N.D.",M111/M$109)</f>
        <v>0.47668703202886</v>
      </c>
      <c r="O111" s="14">
        <f>O43/TC_PROM</f>
        <v>4668.543637957</v>
      </c>
      <c r="P111" s="139">
        <f>IF(O$109=0,"N.D.",O111/O$109)</f>
        <v>0.35340013242936</v>
      </c>
      <c r="R111" s="4" t="s">
        <v>28</v>
      </c>
      <c r="S111" s="14"/>
      <c r="T111" s="43"/>
      <c r="U111" s="14"/>
      <c r="V111" s="43"/>
      <c r="W111" s="14">
        <f>+W109-W110</f>
        <v>962.541</v>
      </c>
      <c r="X111" s="43">
        <f>IF(W$109=0,"N.D.",W111/W$109)</f>
        <v>0.68725389326134</v>
      </c>
      <c r="Y111" s="14">
        <f>+Y109-Y110</f>
        <v>103.875</v>
      </c>
      <c r="Z111" s="43">
        <f>IF(Y$109=0,"N.D.",Y111/Y$109)</f>
        <v>1</v>
      </c>
      <c r="AA111" s="14"/>
      <c r="AB111" s="43"/>
      <c r="AC111" s="14"/>
      <c r="AD111" s="43"/>
      <c r="AE111" s="14">
        <f>+AA111+U111+S111+AC111+W111+Y111</f>
        <v>1066.416</v>
      </c>
      <c r="AF111" s="43">
        <f>IF(AE$41=0,"N.D.",AE111/AE$41)</f>
        <v>0.0058654055094672</v>
      </c>
      <c r="AH111" s="4" t="s">
        <v>28</v>
      </c>
      <c r="AI111" s="14"/>
      <c r="AJ111" s="43"/>
      <c r="AK111" s="14"/>
      <c r="AL111" s="43"/>
      <c r="AM111" s="14">
        <f>+AM109-AM110</f>
        <v>905.27217</v>
      </c>
      <c r="AN111" s="43">
        <f>IF(AM$109=0,"N.D.",AM111/AM$109)</f>
        <v>0.67206134537083</v>
      </c>
      <c r="AO111" s="14">
        <f>+AO109-AO110</f>
        <v>131.75091</v>
      </c>
      <c r="AP111" s="43">
        <f>IF(AO$109=0,"N.D.",AO111/AO$109)</f>
        <v>1</v>
      </c>
      <c r="AQ111" s="14"/>
      <c r="AR111" s="43"/>
      <c r="AS111" s="14"/>
      <c r="AT111" s="43"/>
      <c r="AU111" s="14">
        <f>+AQ111+AK111+AI111+AS111+AM111+AO111</f>
        <v>1037.02308</v>
      </c>
      <c r="AV111" s="43">
        <f>IF(AU$41=0,"N.D.",AU111/AU$41)</f>
        <v>0.004103144534362</v>
      </c>
    </row>
    <row r="112" spans="1:60">
      <c r="B112" s="1"/>
      <c r="C112" s="30"/>
      <c r="D112" s="140"/>
      <c r="E112" s="30"/>
      <c r="F112" s="140"/>
      <c r="G112" s="30"/>
      <c r="H112" s="140"/>
      <c r="I112" s="30"/>
      <c r="J112" s="140"/>
      <c r="K112" s="30"/>
      <c r="L112" s="140"/>
      <c r="M112" s="30"/>
      <c r="N112" s="140"/>
      <c r="O112" s="30"/>
      <c r="P112" s="140"/>
      <c r="R112" s="1"/>
      <c r="S112" s="30"/>
      <c r="T112" s="44"/>
      <c r="U112" s="30"/>
      <c r="V112" s="44"/>
      <c r="W112" s="30"/>
      <c r="X112" s="44"/>
      <c r="Y112" s="30"/>
      <c r="Z112" s="44"/>
      <c r="AA112" s="30"/>
      <c r="AB112" s="44"/>
      <c r="AC112" s="30"/>
      <c r="AD112" s="44"/>
      <c r="AE112" s="30"/>
      <c r="AF112" s="44"/>
      <c r="AH112" s="1"/>
      <c r="AI112" s="30"/>
      <c r="AJ112" s="44"/>
      <c r="AK112" s="30"/>
      <c r="AL112" s="44"/>
      <c r="AM112" s="30"/>
      <c r="AN112" s="44"/>
      <c r="AO112" s="30"/>
      <c r="AP112" s="44"/>
      <c r="AQ112" s="30"/>
      <c r="AR112" s="44"/>
      <c r="AS112" s="30"/>
      <c r="AT112" s="44"/>
      <c r="AU112" s="30"/>
      <c r="AV112" s="44"/>
    </row>
    <row r="113" spans="1:60">
      <c r="B113" s="7" t="s">
        <v>29</v>
      </c>
      <c r="C113" s="8"/>
      <c r="D113" s="141" t="str">
        <f>IF(C$109=0,"N.D.",C113/C$109)</f>
        <v>0</v>
      </c>
      <c r="E113" s="8">
        <f>E45/TC_PROM</f>
        <v>635.63713856256</v>
      </c>
      <c r="F113" s="141">
        <f>IF(E$109=0,"N.D.",E113/E$109)</f>
        <v>0.24122670612344</v>
      </c>
      <c r="G113" s="8">
        <f>G45/TC_PROM</f>
        <v>960.94997</v>
      </c>
      <c r="H113" s="141">
        <f>IF(G$109=0,"N.D.",G113/G$109)</f>
        <v>0.60969068590874</v>
      </c>
      <c r="I113" s="8">
        <f>I45/TC_PROM</f>
        <v>21.6226</v>
      </c>
      <c r="J113" s="141">
        <f>IF(I$109=0,"N.D.",I113/I$109)</f>
        <v>0.20972909595708</v>
      </c>
      <c r="K113" s="8">
        <f>K45/TC_PROM</f>
        <v>1054.7699079843</v>
      </c>
      <c r="L113" s="141">
        <f>IF(K$109=0,"N.D.",K113/K$109)</f>
        <v>0.12365577096062</v>
      </c>
      <c r="M113" s="8">
        <f>M45/TC_PROM</f>
        <v>2.3917170997983</v>
      </c>
      <c r="N113" s="141">
        <f>IF(M$109=0,"N.D.",M113/M$109)</f>
        <v>0.0065306587453281</v>
      </c>
      <c r="O113" s="8">
        <f>O45/TC_PROM</f>
        <v>2675.3713336466</v>
      </c>
      <c r="P113" s="141">
        <f>IF(O$109=0,"N.D.",O113/O$109)</f>
        <v>0.2025206695984</v>
      </c>
      <c r="R113" s="7" t="s">
        <v>29</v>
      </c>
      <c r="S113" s="8"/>
      <c r="T113" s="29"/>
      <c r="U113" s="8"/>
      <c r="V113" s="29"/>
      <c r="W113" s="8">
        <f>(BDER!L470+BDER!L493+BDER!L560+BDER!L605)/1000</f>
        <v>933.464</v>
      </c>
      <c r="X113" s="29">
        <f>IF(W$109=0,"N.D.",W113/W$109)</f>
        <v>0.66649292676292</v>
      </c>
      <c r="Y113" s="8">
        <f>(BDER!L515+BDER!L537+BDER!L582+BDER!L627+BDER!L649)/1000</f>
        <v>33.2</v>
      </c>
      <c r="Z113" s="29">
        <f>IF(Y$109=0,"N.D.",Y113/Y$109)</f>
        <v>0.31961492178099</v>
      </c>
      <c r="AA113" s="8"/>
      <c r="AB113" s="29"/>
      <c r="AC113" s="8"/>
      <c r="AD113" s="29"/>
      <c r="AE113" s="8">
        <f>+AA113+U113+S113+AC113+W113+Y113</f>
        <v>966.664</v>
      </c>
      <c r="AF113" s="29">
        <f>IF(AE$41=0,"N.D.",AE113/AE$41)</f>
        <v>0.0053167585176925</v>
      </c>
      <c r="AH113" s="7" t="s">
        <v>29</v>
      </c>
      <c r="AI113" s="8"/>
      <c r="AJ113" s="29"/>
      <c r="AK113" s="8"/>
      <c r="AL113" s="29"/>
      <c r="AM113" s="8">
        <f>(BDER!H470+BDER!H493+BDER!H560+BDER!H605)/1000</f>
        <v>917.85348</v>
      </c>
      <c r="AN113" s="29">
        <f>IF(AM$109=0,"N.D.",AM113/AM$109)</f>
        <v>0.68140153322299</v>
      </c>
      <c r="AO113" s="8">
        <f>(BDER!H515+BDER!H537+BDER!H582+BDER!H627+BDER!H649)/1000</f>
        <v>81.07055</v>
      </c>
      <c r="AP113" s="29">
        <f>IF(AO$109=0,"N.D.",AO113/AO$109)</f>
        <v>0.61533199277333</v>
      </c>
      <c r="AQ113" s="8"/>
      <c r="AR113" s="29"/>
      <c r="AS113" s="8"/>
      <c r="AT113" s="29"/>
      <c r="AU113" s="8">
        <f>+AQ113+AK113+AI113+AS113+AM113+AO113</f>
        <v>998.92403</v>
      </c>
      <c r="AV113" s="29">
        <f>IF(AU$41=0,"N.D.",AU113/AU$41)</f>
        <v>0.00395239966495</v>
      </c>
    </row>
    <row r="114" spans="1:60">
      <c r="B114" s="7" t="s">
        <v>30</v>
      </c>
      <c r="C114" s="11"/>
      <c r="D114" s="138" t="str">
        <f>IF(C$109=0,"N.D.",C114/C$109)</f>
        <v>0</v>
      </c>
      <c r="E114" s="11">
        <f>E46/TC_PROM+E51/TC_PROM+E52/TC_PROM</f>
        <v>287.04275048455</v>
      </c>
      <c r="F114" s="138">
        <f>IF(E$109=0,"N.D.",E114/E$109)</f>
        <v>0.10893381304401</v>
      </c>
      <c r="G114" s="11">
        <f>G46/TC_PROM+G51/TC_PROM+G52/TC_PROM</f>
        <v>34.37867</v>
      </c>
      <c r="H114" s="138">
        <f>IF(G$109=0,"N.D.",G114/G$109)</f>
        <v>0.021812118785882</v>
      </c>
      <c r="I114" s="11">
        <f>I46/TC_PROM+I51/TC_PROM+I52/TC_PROM</f>
        <v>0.02339</v>
      </c>
      <c r="J114" s="138">
        <f>IF(I$109=0,"N.D.",I114/I$109)</f>
        <v>0.00022687204843248</v>
      </c>
      <c r="K114" s="11">
        <f>K46/TC_PROM+K51/TC_PROM+K52/TC_PROM</f>
        <v>388.00478076421</v>
      </c>
      <c r="L114" s="138">
        <f>IF(K$109=0,"N.D.",K114/K$109)</f>
        <v>0.045487674552166</v>
      </c>
      <c r="M114" s="11">
        <f>M46/TC_PROM+M51/TC_PROM+M52/TC_PROM</f>
        <v>28.750845496618</v>
      </c>
      <c r="N114" s="138">
        <f>IF(M$109=0,"N.D.",M114/M$109)</f>
        <v>0.078505087660201</v>
      </c>
      <c r="O114" s="11">
        <f>O46/TC_PROM+O51/TC_PROM+O52/TC_PROM</f>
        <v>738.20043674538</v>
      </c>
      <c r="P114" s="138">
        <f>IF(O$109=0,"N.D.",O114/O$109)</f>
        <v>0.055880409895749</v>
      </c>
      <c r="R114" s="7" t="s">
        <v>30</v>
      </c>
      <c r="S114" s="8"/>
      <c r="T114" s="42"/>
      <c r="U114" s="8"/>
      <c r="V114" s="42"/>
      <c r="W114" s="8">
        <f>(BDER!L471+BDER!L494+BDER!L561+BDER!L606)/1000</f>
        <v>61.766</v>
      </c>
      <c r="X114" s="42">
        <f>IF(W$109=0,"N.D.",W114/W$109)</f>
        <v>0.044100899568102</v>
      </c>
      <c r="Y114" s="8">
        <f>(BDER!L516+BDER!L538+BDER!L583+BDER!L628+BDER!L650)/1000</f>
        <v>0</v>
      </c>
      <c r="Z114" s="42">
        <f>IF(Y$109=0,"N.D.",Y114/Y$109)</f>
        <v>0</v>
      </c>
      <c r="AA114" s="8"/>
      <c r="AB114" s="42"/>
      <c r="AC114" s="8"/>
      <c r="AD114" s="42"/>
      <c r="AE114" s="11">
        <f>+AA114+U114+S114+AC114+W114+Y114</f>
        <v>61.766</v>
      </c>
      <c r="AF114" s="42">
        <f>IF(AE$41=0,"N.D.",AE114/AE$41)</f>
        <v>0.00033971980605857</v>
      </c>
      <c r="AH114" s="7" t="s">
        <v>30</v>
      </c>
      <c r="AI114" s="8"/>
      <c r="AJ114" s="42"/>
      <c r="AK114" s="8"/>
      <c r="AL114" s="42"/>
      <c r="AM114" s="8">
        <f>(BDER!H471+BDER!H494+BDER!H561+BDER!H606)/1000</f>
        <v>57.0197</v>
      </c>
      <c r="AN114" s="42">
        <f>IF(AM$109=0,"N.D.",AM114/AM$109)</f>
        <v>0.04233062449566</v>
      </c>
      <c r="AO114" s="8">
        <f>(BDER!H516+BDER!H538+BDER!H583+BDER!H628+BDER!H650)/1000</f>
        <v>0.05959</v>
      </c>
      <c r="AP114" s="42">
        <f>IF(AO$109=0,"N.D.",AO114/AO$109)</f>
        <v>0.00045229289118383</v>
      </c>
      <c r="AQ114" s="8"/>
      <c r="AR114" s="42"/>
      <c r="AS114" s="8"/>
      <c r="AT114" s="42"/>
      <c r="AU114" s="11">
        <f>+AQ114+AK114+AI114+AS114+AM114+AO114</f>
        <v>57.07929</v>
      </c>
      <c r="AV114" s="42">
        <f>IF(AU$41=0,"N.D.",AU114/AU$41)</f>
        <v>0.00022584316714413</v>
      </c>
    </row>
    <row r="115" spans="1:60">
      <c r="B115" s="7" t="s">
        <v>31</v>
      </c>
      <c r="C115" s="11"/>
      <c r="D115" s="138" t="str">
        <f>IF(C$109=0,"N.D.",C115/C$109)</f>
        <v>0</v>
      </c>
      <c r="E115" s="11">
        <f>E47/TC_PROM</f>
        <v>45.019660515802</v>
      </c>
      <c r="F115" s="138">
        <f>IF(E$109=0,"N.D.",E115/E$109)</f>
        <v>0.017085132000911</v>
      </c>
      <c r="G115" s="11">
        <f>G47/TC_PROM</f>
        <v>18.61169</v>
      </c>
      <c r="H115" s="138">
        <f>IF(G$109=0,"N.D.",G115/G$109)</f>
        <v>0.011808496171784</v>
      </c>
      <c r="I115" s="11">
        <f>I47/TC_PROM</f>
        <v>30.12433</v>
      </c>
      <c r="J115" s="138">
        <f>IF(I$109=0,"N.D.",I115/I$109)</f>
        <v>0.29219189631278</v>
      </c>
      <c r="K115" s="11">
        <f>K47/TC_PROM</f>
        <v>96.011033978086</v>
      </c>
      <c r="L115" s="138">
        <f>IF(K$109=0,"N.D.",K115/K$109)</f>
        <v>0.011255837256464</v>
      </c>
      <c r="M115" s="11">
        <f>M47/TC_PROM</f>
        <v>1.5785278469997</v>
      </c>
      <c r="N115" s="138">
        <f>IF(M$109=0,"N.D.",M115/M$109)</f>
        <v>0.0043102199209188</v>
      </c>
      <c r="O115" s="11">
        <f>O47/TC_PROM</f>
        <v>191.34524234089</v>
      </c>
      <c r="P115" s="138">
        <f>IF(O$109=0,"N.D.",O115/O$109)</f>
        <v>0.014484481505798</v>
      </c>
      <c r="R115" s="7" t="s">
        <v>31</v>
      </c>
      <c r="S115" s="8"/>
      <c r="T115" s="42"/>
      <c r="U115" s="8"/>
      <c r="V115" s="42"/>
      <c r="W115" s="8">
        <f>(BDER!L472+BDER!L495+BDER!L562+BDER!L607)/1000</f>
        <v>13.294</v>
      </c>
      <c r="X115" s="42">
        <f>IF(W$109=0,"N.D.",W115/W$109)</f>
        <v>0.0094919107414815</v>
      </c>
      <c r="Y115" s="8">
        <f>(BDER!L517+BDER!L539+BDER!L584+BDER!L629+BDER!L651)/1000</f>
        <v>13.698</v>
      </c>
      <c r="Z115" s="42">
        <f>IF(Y$109=0,"N.D.",Y115/Y$109)</f>
        <v>0.13187003610108</v>
      </c>
      <c r="AA115" s="8"/>
      <c r="AB115" s="42"/>
      <c r="AC115" s="8"/>
      <c r="AD115" s="42"/>
      <c r="AE115" s="11">
        <f>+AA115+U115+S115+AC115+W115+Y115</f>
        <v>26.992</v>
      </c>
      <c r="AF115" s="42">
        <f>IF(AE$41=0,"N.D.",AE115/AE$41)</f>
        <v>0.00014845897427602</v>
      </c>
      <c r="AH115" s="7" t="s">
        <v>31</v>
      </c>
      <c r="AI115" s="8"/>
      <c r="AJ115" s="42"/>
      <c r="AK115" s="8"/>
      <c r="AL115" s="42"/>
      <c r="AM115" s="8">
        <f>(BDER!H472+BDER!H495+BDER!H562+BDER!H607)/1000</f>
        <v>15.52772</v>
      </c>
      <c r="AN115" s="42">
        <f>IF(AM$109=0,"N.D.",AM115/AM$109)</f>
        <v>0.011527561256789</v>
      </c>
      <c r="AO115" s="8">
        <f>(BDER!H517+BDER!H539+BDER!H584+BDER!H629+BDER!H651)/1000</f>
        <v>21.00241</v>
      </c>
      <c r="AP115" s="42">
        <f>IF(AO$109=0,"N.D.",AO115/AO$109)</f>
        <v>0.15940998054586</v>
      </c>
      <c r="AQ115" s="8"/>
      <c r="AR115" s="42"/>
      <c r="AS115" s="8"/>
      <c r="AT115" s="42"/>
      <c r="AU115" s="11">
        <f>+AQ115+AK115+AI115+AS115+AM115+AO115</f>
        <v>36.53013</v>
      </c>
      <c r="AV115" s="42">
        <f>IF(AU$41=0,"N.D.",AU115/AU$41)</f>
        <v>0.00014453719125425</v>
      </c>
    </row>
    <row r="116" spans="1:60">
      <c r="B116" s="4" t="s">
        <v>32</v>
      </c>
      <c r="C116" s="14"/>
      <c r="D116" s="139" t="str">
        <f>IF(C$109=0,"N.D.",C116/C$109)</f>
        <v>0</v>
      </c>
      <c r="E116" s="14">
        <f>E48/TC_PROM</f>
        <v>967.69954956291</v>
      </c>
      <c r="F116" s="139">
        <f>IF(E$109=0,"N.D.",E116/E$109)</f>
        <v>0.36724565116836</v>
      </c>
      <c r="G116" s="14">
        <f>G48/TC_PROM</f>
        <v>1013.94033</v>
      </c>
      <c r="H116" s="139">
        <f>IF(G$109=0,"N.D.",G116/G$109)</f>
        <v>0.6433113008664</v>
      </c>
      <c r="I116" s="14">
        <f>I48/TC_PROM</f>
        <v>51.77032</v>
      </c>
      <c r="J116" s="139">
        <f>IF(I$109=0,"N.D.",I116/I$109)</f>
        <v>0.50214786431829</v>
      </c>
      <c r="K116" s="14">
        <f>K48/TC_PROM</f>
        <v>1538.7857227266</v>
      </c>
      <c r="L116" s="139">
        <f>IF(K$109=0,"N.D.",K116/K$109)</f>
        <v>0.18039928276925</v>
      </c>
      <c r="M116" s="14">
        <f>M48/TC_PROM</f>
        <v>32.721090443416</v>
      </c>
      <c r="N116" s="139">
        <f>IF(M$109=0,"N.D.",M116/M$109)</f>
        <v>0.089345966326448</v>
      </c>
      <c r="O116" s="14">
        <f>O48/TC_PROM</f>
        <v>3604.9170127329</v>
      </c>
      <c r="P116" s="139">
        <f>IF(O$109=0,"N.D.",O116/O$109)</f>
        <v>0.27288556099995</v>
      </c>
      <c r="R116" s="4" t="s">
        <v>32</v>
      </c>
      <c r="S116" s="14"/>
      <c r="T116" s="43"/>
      <c r="U116" s="14"/>
      <c r="V116" s="43"/>
      <c r="W116" s="14">
        <f>+W115+W114+W113</f>
        <v>1008.524</v>
      </c>
      <c r="X116" s="43">
        <f>IF(W$109=0,"N.D.",W116/W$109)</f>
        <v>0.7200857370725</v>
      </c>
      <c r="Y116" s="14">
        <f>+Y115+Y114+Y113</f>
        <v>46.898</v>
      </c>
      <c r="Z116" s="43">
        <f>IF(Y$109=0,"N.D.",Y116/Y$109)</f>
        <v>0.45148495788207</v>
      </c>
      <c r="AA116" s="14"/>
      <c r="AB116" s="43"/>
      <c r="AC116" s="14"/>
      <c r="AD116" s="43"/>
      <c r="AE116" s="14">
        <f>+AA116+U116+S116+AC116+W116+Y116</f>
        <v>1055.422</v>
      </c>
      <c r="AF116" s="43">
        <f>IF(AE$41=0,"N.D.",AE116/AE$41)</f>
        <v>0.0058049372980271</v>
      </c>
      <c r="AH116" s="4" t="s">
        <v>32</v>
      </c>
      <c r="AI116" s="14"/>
      <c r="AJ116" s="43"/>
      <c r="AK116" s="14"/>
      <c r="AL116" s="43"/>
      <c r="AM116" s="14">
        <f>+AM115+AM114+AM113</f>
        <v>990.4009</v>
      </c>
      <c r="AN116" s="43">
        <f>IF(AM$109=0,"N.D.",AM116/AM$109)</f>
        <v>0.73525971897544</v>
      </c>
      <c r="AO116" s="14">
        <f>+AO115+AO114+AO113</f>
        <v>102.13255</v>
      </c>
      <c r="AP116" s="43">
        <f>IF(AO$109=0,"N.D.",AO116/AO$109)</f>
        <v>0.77519426621038</v>
      </c>
      <c r="AQ116" s="14"/>
      <c r="AR116" s="43"/>
      <c r="AS116" s="14"/>
      <c r="AT116" s="43"/>
      <c r="AU116" s="14">
        <f>+AQ116+AK116+AI116+AS116+AM116+AO116</f>
        <v>1092.53345</v>
      </c>
      <c r="AV116" s="43">
        <f>IF(AU$41=0,"N.D.",AU116/AU$41)</f>
        <v>0.0043227800233484</v>
      </c>
    </row>
    <row r="117" spans="1:60">
      <c r="B117" s="4" t="s">
        <v>33</v>
      </c>
      <c r="C117" s="20"/>
      <c r="D117" s="142" t="str">
        <f>IF(C$109=0,"N.D.",C117/C$109)</f>
        <v>0</v>
      </c>
      <c r="E117" s="20">
        <f>E53/TC_PROM</f>
        <v>314.466221174</v>
      </c>
      <c r="F117" s="142">
        <f>IF(E$109=0,"N.D.",E117/E$109)</f>
        <v>0.11934112423393</v>
      </c>
      <c r="G117" s="20">
        <f>G53/TC_PROM</f>
        <v>89.09965</v>
      </c>
      <c r="H117" s="142">
        <f>IF(G$109=0,"N.D.",G117/G$109)</f>
        <v>0.056530754377076</v>
      </c>
      <c r="I117" s="20">
        <f>I53/TC_PROM</f>
        <v>51.32744</v>
      </c>
      <c r="J117" s="142">
        <f>IF(I$109=0,"N.D.",I117/I$109)</f>
        <v>0.49785213568171</v>
      </c>
      <c r="K117" s="20">
        <f>K53/TC_PROM</f>
        <v>466.87775453898</v>
      </c>
      <c r="L117" s="142">
        <f>IF(K$109=0,"N.D.",K117/K$109)</f>
        <v>0.054734334232394</v>
      </c>
      <c r="M117" s="20">
        <f>M53/TC_PROM</f>
        <v>141.8555595111</v>
      </c>
      <c r="N117" s="142">
        <f>IF(M$109=0,"N.D.",M117/M$109)</f>
        <v>0.38734106570241</v>
      </c>
      <c r="O117" s="20">
        <f>O53/TC_PROM</f>
        <v>1063.6266252241</v>
      </c>
      <c r="P117" s="142">
        <f>IF(O$109=0,"N.D.",O117/O$109)</f>
        <v>0.080514571429405</v>
      </c>
      <c r="R117" s="4" t="s">
        <v>33</v>
      </c>
      <c r="S117" s="20"/>
      <c r="T117" s="45"/>
      <c r="U117" s="20"/>
      <c r="V117" s="45"/>
      <c r="W117" s="20">
        <f>+W111-W116</f>
        <v>-45.983</v>
      </c>
      <c r="X117" s="45">
        <f>IF(W$109=0,"N.D.",W117/W$109)</f>
        <v>-0.032831843811159</v>
      </c>
      <c r="Y117" s="20">
        <f>+Y111-Y116</f>
        <v>56.977</v>
      </c>
      <c r="Z117" s="45">
        <f>IF(Y$109=0,"N.D.",Y117/Y$109)</f>
        <v>0.54851504211793</v>
      </c>
      <c r="AA117" s="20"/>
      <c r="AB117" s="45"/>
      <c r="AC117" s="20"/>
      <c r="AD117" s="45"/>
      <c r="AE117" s="20">
        <f>+AA117+U117+S117+AC117+W117+Y117</f>
        <v>10.994</v>
      </c>
      <c r="AF117" s="45">
        <f>IF(AE$41=0,"N.D.",AE117/AE$41)</f>
        <v>6.0468211440077E-5</v>
      </c>
      <c r="AH117" s="4" t="s">
        <v>33</v>
      </c>
      <c r="AI117" s="20"/>
      <c r="AJ117" s="45"/>
      <c r="AK117" s="20"/>
      <c r="AL117" s="45"/>
      <c r="AM117" s="20">
        <f>+AM111-AM116</f>
        <v>-85.12873</v>
      </c>
      <c r="AN117" s="45">
        <f>IF(AM$109=0,"N.D.",AM117/AM$109)</f>
        <v>-0.063198373604604</v>
      </c>
      <c r="AO117" s="20">
        <f>+AO111-AO116</f>
        <v>29.61836</v>
      </c>
      <c r="AP117" s="45">
        <f>IF(AO$109=0,"N.D.",AO117/AO$109)</f>
        <v>0.22480573378962</v>
      </c>
      <c r="AQ117" s="20"/>
      <c r="AR117" s="45"/>
      <c r="AS117" s="20"/>
      <c r="AT117" s="45"/>
      <c r="AU117" s="20">
        <f>+AQ117+AK117+AI117+AS117+AM117+AO117</f>
        <v>-55.51037</v>
      </c>
      <c r="AV117" s="45">
        <f>IF(AU$41=0,"N.D.",AU117/AU$41)</f>
        <v>-0.00021963548898634</v>
      </c>
    </row>
    <row r="118" spans="1:60">
      <c r="B118" s="1"/>
      <c r="C118" s="30"/>
      <c r="D118" s="140"/>
      <c r="E118" s="30"/>
      <c r="F118" s="140"/>
      <c r="G118" s="30"/>
      <c r="H118" s="140"/>
      <c r="I118" s="30"/>
      <c r="J118" s="140"/>
      <c r="K118" s="30"/>
      <c r="L118" s="140"/>
      <c r="M118" s="30"/>
      <c r="N118" s="140"/>
      <c r="O118" s="30"/>
      <c r="P118" s="140"/>
      <c r="R118" s="1"/>
      <c r="S118" s="30"/>
      <c r="T118" s="44"/>
      <c r="U118" s="30"/>
      <c r="V118" s="44"/>
      <c r="W118" s="30"/>
      <c r="X118" s="44"/>
      <c r="Y118" s="30"/>
      <c r="Z118" s="44"/>
      <c r="AA118" s="30"/>
      <c r="AB118" s="44"/>
      <c r="AC118" s="30"/>
      <c r="AD118" s="44"/>
      <c r="AE118" s="30"/>
      <c r="AF118" s="44"/>
      <c r="AH118" s="1"/>
      <c r="AI118" s="30"/>
      <c r="AJ118" s="44"/>
      <c r="AK118" s="30"/>
      <c r="AL118" s="44"/>
      <c r="AM118" s="30"/>
      <c r="AN118" s="44"/>
      <c r="AO118" s="30"/>
      <c r="AP118" s="44"/>
      <c r="AQ118" s="30"/>
      <c r="AR118" s="44"/>
      <c r="AS118" s="30"/>
      <c r="AT118" s="44"/>
      <c r="AU118" s="30"/>
      <c r="AV118" s="44"/>
    </row>
    <row r="119" spans="1:60">
      <c r="B119" s="7" t="s">
        <v>36</v>
      </c>
      <c r="C119" s="8"/>
      <c r="D119" s="141" t="str">
        <f>IF(C$109=0,"N.D.",C119/C$109)</f>
        <v>0</v>
      </c>
      <c r="E119" s="8">
        <f>E55/TC_PROM</f>
        <v>8.2237713104703</v>
      </c>
      <c r="F119" s="141">
        <f>IF(E$109=0,"N.D.",E119/E$109)</f>
        <v>0.0031209524188964</v>
      </c>
      <c r="G119" s="8">
        <f>G55/TC_PROM</f>
        <v>0</v>
      </c>
      <c r="H119" s="141">
        <f>IF(G$109=0,"N.D.",G119/G$109)</f>
        <v>0</v>
      </c>
      <c r="I119" s="8">
        <f>I55/TC_PROM</f>
        <v>0</v>
      </c>
      <c r="J119" s="141">
        <f>IF(I$109=0,"N.D.",I119/I$109)</f>
        <v>0</v>
      </c>
      <c r="K119" s="8">
        <f>K55/TC_PROM</f>
        <v>37.31731488074</v>
      </c>
      <c r="L119" s="141">
        <f>IF(K$109=0,"N.D.",K119/K$109)</f>
        <v>0.0043748890699555</v>
      </c>
      <c r="M119" s="8">
        <f>M55/TC_PROM</f>
        <v>0.85138147225189</v>
      </c>
      <c r="N119" s="141">
        <f>IF(M$109=0,"N.D.",M119/M$109)</f>
        <v>0.0023247238805296</v>
      </c>
      <c r="O119" s="8">
        <f>O55/TC_PROM</f>
        <v>46.392467663463</v>
      </c>
      <c r="P119" s="141">
        <f>IF(O$109=0,"N.D.",O119/O$109)</f>
        <v>0.0035118241334823</v>
      </c>
      <c r="R119" s="7" t="s">
        <v>36</v>
      </c>
      <c r="S119" s="8"/>
      <c r="T119" s="29"/>
      <c r="U119" s="8"/>
      <c r="V119" s="29"/>
      <c r="W119" s="8">
        <f>(BDER!L475+BDER!L498+BDER!L565+BDER!L610)/1000</f>
        <v>0</v>
      </c>
      <c r="X119" s="29">
        <f>IF(W$109=0,"N.D.",W119/W$109)</f>
        <v>0</v>
      </c>
      <c r="Y119" s="8">
        <f>(BDER!L520+BDER!L542+BDER!L587+BDER!L632+BDER!L654)/1000</f>
        <v>0</v>
      </c>
      <c r="Z119" s="29">
        <f>IF(Y$109=0,"N.D.",Y119/Y$109)</f>
        <v>0</v>
      </c>
      <c r="AA119" s="8"/>
      <c r="AB119" s="29"/>
      <c r="AC119" s="8"/>
      <c r="AD119" s="29"/>
      <c r="AE119" s="8">
        <f>+AA119+U119+S119+AC119+W119+Y119</f>
        <v>0</v>
      </c>
      <c r="AF119" s="29">
        <f>IF(AE$41=0,"N.D.",AE119/AE$41)</f>
        <v>0</v>
      </c>
      <c r="AH119" s="7" t="s">
        <v>36</v>
      </c>
      <c r="AI119" s="8"/>
      <c r="AJ119" s="29"/>
      <c r="AK119" s="8"/>
      <c r="AL119" s="29"/>
      <c r="AM119" s="8">
        <f>(BDER!H475+BDER!H498+BDER!H565+BDER!H610)/1000</f>
        <v>0</v>
      </c>
      <c r="AN119" s="29">
        <f>IF(AM$109=0,"N.D.",AM119/AM$109)</f>
        <v>0</v>
      </c>
      <c r="AO119" s="8">
        <f>(BDER!H520+BDER!H542+BDER!H587+BDER!H632+BDER!H654)/1000</f>
        <v>0</v>
      </c>
      <c r="AP119" s="29">
        <f>IF(AO$109=0,"N.D.",AO119/AO$109)</f>
        <v>0</v>
      </c>
      <c r="AQ119" s="8"/>
      <c r="AR119" s="29"/>
      <c r="AS119" s="8"/>
      <c r="AT119" s="29"/>
      <c r="AU119" s="8">
        <f>+AQ119+AK119+AI119+AS119+AM119+AO119</f>
        <v>0</v>
      </c>
      <c r="AV119" s="29">
        <f>IF(AU$41=0,"N.D.",AU119/AU$41)</f>
        <v>0</v>
      </c>
    </row>
    <row r="120" spans="1:60">
      <c r="B120" s="7" t="s">
        <v>38</v>
      </c>
      <c r="C120" s="11"/>
      <c r="D120" s="138" t="str">
        <f>IF(C$109=0,"N.D.",C120/C$109)</f>
        <v>0</v>
      </c>
      <c r="E120" s="11">
        <f>E56/TC_PROM</f>
        <v>-12.396843479293</v>
      </c>
      <c r="F120" s="138">
        <f>IF(E$109=0,"N.D.",E120/E$109)</f>
        <v>-0.0047046491424342</v>
      </c>
      <c r="G120" s="11">
        <f>G56/TC_PROM</f>
        <v>-10.13327</v>
      </c>
      <c r="H120" s="138">
        <f>IF(G$109=0,"N.D.",G120/G$109)</f>
        <v>-0.0064292216345024</v>
      </c>
      <c r="I120" s="11">
        <f>I56/TC_PROM</f>
        <v>0</v>
      </c>
      <c r="J120" s="138">
        <f>IF(I$109=0,"N.D.",I120/I$109)</f>
        <v>0</v>
      </c>
      <c r="K120" s="11">
        <f>K56/TC_PROM</f>
        <v>-67.535274020015</v>
      </c>
      <c r="L120" s="138">
        <f>IF(K$109=0,"N.D.",K120/K$109)</f>
        <v>-0.0079174863757172</v>
      </c>
      <c r="M120" s="11">
        <f>M56/TC_PROM</f>
        <v>-0.40918031327875</v>
      </c>
      <c r="N120" s="138">
        <f>IF(M$109=0,"N.D.",M120/M$109)</f>
        <v>-0.0011172797115325</v>
      </c>
      <c r="O120" s="11">
        <f>O56/TC_PROM</f>
        <v>-90.474567812587</v>
      </c>
      <c r="P120" s="138">
        <f>IF(O$109=0,"N.D.",O120/O$109)</f>
        <v>-0.0068487577124692</v>
      </c>
      <c r="R120" s="7" t="s">
        <v>38</v>
      </c>
      <c r="S120" s="8"/>
      <c r="T120" s="42"/>
      <c r="U120" s="8"/>
      <c r="V120" s="42"/>
      <c r="W120" s="8">
        <f>(BDER!L476+BDER!L499+BDER!L566+BDER!L611)/1000</f>
        <v>-10.44</v>
      </c>
      <c r="X120" s="42">
        <f>IF(W$109=0,"N.D.",W120/W$109)</f>
        <v>-0.0074541558703976</v>
      </c>
      <c r="Y120" s="8">
        <f>(BDER!L521+BDER!L543+BDER!L588+BDER!L633+BDER!L655)/1000</f>
        <v>0</v>
      </c>
      <c r="Z120" s="42">
        <f>IF(Y$109=0,"N.D.",Y120/Y$109)</f>
        <v>0</v>
      </c>
      <c r="AA120" s="8"/>
      <c r="AB120" s="42"/>
      <c r="AC120" s="8"/>
      <c r="AD120" s="42"/>
      <c r="AE120" s="11">
        <f>+AA120+U120+S120+AC120+W120+Y120</f>
        <v>-10.44</v>
      </c>
      <c r="AF120" s="42">
        <f>IF(AE$41=0,"N.D.",AE120/AE$41)</f>
        <v>-5.7421150394253E-5</v>
      </c>
      <c r="AH120" s="7" t="s">
        <v>38</v>
      </c>
      <c r="AI120" s="8"/>
      <c r="AJ120" s="42"/>
      <c r="AK120" s="8"/>
      <c r="AL120" s="42"/>
      <c r="AM120" s="8">
        <f>(BDER!H476+BDER!H499+BDER!H566+BDER!H611)/1000</f>
        <v>-9.0666</v>
      </c>
      <c r="AN120" s="42">
        <f>IF(AM$109=0,"N.D.",AM120/AM$109)</f>
        <v>-0.0067309165087216</v>
      </c>
      <c r="AO120" s="8">
        <f>(BDER!H521+BDER!H543+BDER!H588+BDER!H633+BDER!H655)/1000</f>
        <v>3.14161</v>
      </c>
      <c r="AP120" s="42">
        <f>IF(AO$109=0,"N.D.",AO120/AO$109)</f>
        <v>0.023845072493237</v>
      </c>
      <c r="AQ120" s="8"/>
      <c r="AR120" s="42"/>
      <c r="AS120" s="8"/>
      <c r="AT120" s="42"/>
      <c r="AU120" s="11">
        <f>+AQ120+AK120+AI120+AS120+AM120+AO120</f>
        <v>-5.92499</v>
      </c>
      <c r="AV120" s="42">
        <f>IF(AU$41=0,"N.D.",AU120/AU$41)</f>
        <v>-2.3443152619756E-5</v>
      </c>
    </row>
    <row r="121" spans="1:60">
      <c r="B121" s="7" t="s">
        <v>39</v>
      </c>
      <c r="C121" s="11"/>
      <c r="D121" s="138" t="str">
        <f>IF(C$109=0,"N.D.",C121/C$109)</f>
        <v>0</v>
      </c>
      <c r="E121" s="11">
        <f>E57/TC_PROM</f>
        <v>44.953336003323</v>
      </c>
      <c r="F121" s="138">
        <f>IF(E$109=0,"N.D.",E121/E$109)</f>
        <v>0.017059961596745</v>
      </c>
      <c r="G121" s="11">
        <f>G57/TC_PROM</f>
        <v>0</v>
      </c>
      <c r="H121" s="138">
        <f>IF(G$109=0,"N.D.",G121/G$109)</f>
        <v>0</v>
      </c>
      <c r="I121" s="11">
        <f>I57/TC_PROM</f>
        <v>11.86004</v>
      </c>
      <c r="J121" s="138">
        <f>IF(I$109=0,"N.D.",I121/I$109)</f>
        <v>0.1150368349419</v>
      </c>
      <c r="K121" s="11">
        <f>K57/TC_PROM</f>
        <v>10.126931292275</v>
      </c>
      <c r="L121" s="138">
        <f>IF(K$109=0,"N.D.",K121/K$109)</f>
        <v>0.0011872290695178</v>
      </c>
      <c r="M121" s="11">
        <f>M57/TC_PROM</f>
        <v>0.21219047901586</v>
      </c>
      <c r="N121" s="138">
        <f>IF(M$109=0,"N.D.",M121/M$109)</f>
        <v>0.00057939277499717</v>
      </c>
      <c r="O121" s="11">
        <f>O57/TC_PROM</f>
        <v>67.201942021281</v>
      </c>
      <c r="P121" s="138">
        <f>IF(O$109=0,"N.D.",O121/O$109)</f>
        <v>0.0050870629154542</v>
      </c>
      <c r="R121" s="7" t="s">
        <v>39</v>
      </c>
      <c r="S121" s="8"/>
      <c r="T121" s="42"/>
      <c r="U121" s="8"/>
      <c r="V121" s="42"/>
      <c r="W121" s="8">
        <f>(BDER!L477+BDER!L500+BDER!L567+BDER!L612)/1000</f>
        <v>0</v>
      </c>
      <c r="X121" s="42">
        <f>IF(W$109=0,"N.D.",W121/W$109)</f>
        <v>0</v>
      </c>
      <c r="Y121" s="8">
        <f>(BDER!L522+BDER!L544+BDER!L589+BDER!L634+BDER!L656)/1000</f>
        <v>8.7</v>
      </c>
      <c r="Z121" s="42">
        <f>IF(Y$109=0,"N.D.",Y121/Y$109)</f>
        <v>0.083754512635379</v>
      </c>
      <c r="AA121" s="8"/>
      <c r="AB121" s="42"/>
      <c r="AC121" s="8"/>
      <c r="AD121" s="42"/>
      <c r="AE121" s="11">
        <f>+AA121+U121+S121+AC121+W121+Y121</f>
        <v>8.7</v>
      </c>
      <c r="AF121" s="42">
        <f>IF(AE$41=0,"N.D.",AE121/AE$41)</f>
        <v>4.7850958661877E-5</v>
      </c>
      <c r="AH121" s="7" t="s">
        <v>39</v>
      </c>
      <c r="AI121" s="8"/>
      <c r="AJ121" s="42"/>
      <c r="AK121" s="8"/>
      <c r="AL121" s="42"/>
      <c r="AM121" s="8">
        <f>(BDER!H477+BDER!H500+BDER!H567+BDER!H612)/1000</f>
        <v>8.5325</v>
      </c>
      <c r="AN121" s="42">
        <f>IF(AM$109=0,"N.D.",AM121/AM$109)</f>
        <v>0.0063344081696189</v>
      </c>
      <c r="AO121" s="8">
        <f>(BDER!H522+BDER!H544+BDER!H589+BDER!H634+BDER!H656)/1000</f>
        <v>40.28367</v>
      </c>
      <c r="AP121" s="42">
        <f>IF(AO$109=0,"N.D.",AO121/AO$109)</f>
        <v>0.305756294207</v>
      </c>
      <c r="AQ121" s="8"/>
      <c r="AR121" s="42"/>
      <c r="AS121" s="8"/>
      <c r="AT121" s="42"/>
      <c r="AU121" s="11">
        <f>+AQ121+AK121+AI121+AS121+AM121+AO121</f>
        <v>48.81617</v>
      </c>
      <c r="AV121" s="42">
        <f>IF(AU$41=0,"N.D.",AU121/AU$41)</f>
        <v>0.00019314883630554</v>
      </c>
    </row>
    <row r="122" spans="1:60">
      <c r="B122" s="7" t="s">
        <v>40</v>
      </c>
      <c r="C122" s="11"/>
      <c r="D122" s="138" t="str">
        <f>IF(C$109=0,"N.D.",C122/C$109)</f>
        <v>0</v>
      </c>
      <c r="E122" s="11">
        <f>E58/TC_PROM</f>
        <v>1.5685059926427</v>
      </c>
      <c r="F122" s="138">
        <f>IF(E$109=0,"N.D.",E122/E$109)</f>
        <v>0.00059525397618478</v>
      </c>
      <c r="G122" s="11">
        <f>G58/TC_PROM</f>
        <v>0</v>
      </c>
      <c r="H122" s="138">
        <f>IF(G$109=0,"N.D.",G122/G$109)</f>
        <v>0</v>
      </c>
      <c r="I122" s="11">
        <f>I58/TC_PROM</f>
        <v>0</v>
      </c>
      <c r="J122" s="138">
        <f>IF(I$109=0,"N.D.",I122/I$109)</f>
        <v>0</v>
      </c>
      <c r="K122" s="11">
        <f>K58/TC_PROM</f>
        <v>3.2171806396108</v>
      </c>
      <c r="L122" s="138">
        <f>IF(K$109=0,"N.D.",K122/K$109)</f>
        <v>0.00037716562569644</v>
      </c>
      <c r="M122" s="11">
        <f>M58/TC_PROM</f>
        <v>18.430908093034</v>
      </c>
      <c r="N122" s="138">
        <f>IF(M$109=0,"N.D.",M122/M$109)</f>
        <v>0.050326174083158</v>
      </c>
      <c r="O122" s="11">
        <f>O58/TC_PROM</f>
        <v>23.216594725288</v>
      </c>
      <c r="P122" s="138">
        <f>IF(O$109=0,"N.D.",O122/O$109)</f>
        <v>0.0017574533487848</v>
      </c>
      <c r="R122" s="7" t="s">
        <v>40</v>
      </c>
      <c r="S122" s="8"/>
      <c r="T122" s="42"/>
      <c r="U122" s="8"/>
      <c r="V122" s="42"/>
      <c r="W122" s="8">
        <f>(BDER!L478+BDER!L501+BDER!L568+BDER!L613)/1000</f>
        <v>0</v>
      </c>
      <c r="X122" s="42">
        <f>IF(W$109=0,"N.D.",W122/W$109)</f>
        <v>0</v>
      </c>
      <c r="Y122" s="8">
        <f>(BDER!L523+BDER!L545+BDER!L590+BDER!L635+BDER!L657)/1000</f>
        <v>0</v>
      </c>
      <c r="Z122" s="42">
        <f>IF(Y$109=0,"N.D.",Y122/Y$109)</f>
        <v>0</v>
      </c>
      <c r="AA122" s="8"/>
      <c r="AB122" s="42"/>
      <c r="AC122" s="8"/>
      <c r="AD122" s="42"/>
      <c r="AE122" s="11">
        <f>+AA122+U122+S122+AC122+W122+Y122</f>
        <v>0</v>
      </c>
      <c r="AF122" s="42">
        <f>IF(AE$41=0,"N.D.",AE122/AE$41)</f>
        <v>0</v>
      </c>
      <c r="AH122" s="7" t="s">
        <v>40</v>
      </c>
      <c r="AI122" s="8"/>
      <c r="AJ122" s="42"/>
      <c r="AK122" s="8"/>
      <c r="AL122" s="42"/>
      <c r="AM122" s="8">
        <f>(BDER!H478+BDER!H501+BDER!H568+BDER!H613)/1000</f>
        <v>0</v>
      </c>
      <c r="AN122" s="42">
        <f>IF(AM$109=0,"N.D.",AM122/AM$109)</f>
        <v>0</v>
      </c>
      <c r="AO122" s="8">
        <f>(BDER!H523+BDER!H545+BDER!H590+BDER!H635+BDER!H657)/1000</f>
        <v>0</v>
      </c>
      <c r="AP122" s="42">
        <f>IF(AO$109=0,"N.D.",AO122/AO$109)</f>
        <v>0</v>
      </c>
      <c r="AQ122" s="8"/>
      <c r="AR122" s="42"/>
      <c r="AS122" s="8"/>
      <c r="AT122" s="42"/>
      <c r="AU122" s="11">
        <f>+AQ122+AK122+AI122+AS122+AM122+AO122</f>
        <v>0</v>
      </c>
      <c r="AV122" s="42">
        <f>IF(AU$41=0,"N.D.",AU122/AU$41)</f>
        <v>0</v>
      </c>
    </row>
    <row r="123" spans="1:60">
      <c r="B123" s="7"/>
      <c r="C123" s="11"/>
      <c r="D123" s="138" t="str">
        <f>IF(C$109=0,"N.D.",C123/C$109)</f>
        <v>0</v>
      </c>
      <c r="E123" s="11">
        <f>E59/TC_PROM</f>
        <v>0</v>
      </c>
      <c r="F123" s="138">
        <f>IF(E$109=0,"N.D.",E123/E$109)</f>
        <v>0</v>
      </c>
      <c r="G123" s="11">
        <f>G59/TC_PROM</f>
        <v>0</v>
      </c>
      <c r="H123" s="138">
        <f>IF(G$109=0,"N.D.",G123/G$109)</f>
        <v>0</v>
      </c>
      <c r="I123" s="11">
        <f>I59/TC_PROM</f>
        <v>0</v>
      </c>
      <c r="J123" s="138">
        <f>IF(I$109=0,"N.D.",I123/I$109)</f>
        <v>0</v>
      </c>
      <c r="K123" s="11">
        <f>K59/TC_PROM</f>
        <v>0</v>
      </c>
      <c r="L123" s="138">
        <f>IF(K$109=0,"N.D.",K123/K$109)</f>
        <v>0</v>
      </c>
      <c r="M123" s="11">
        <f>M59/TC_PROM</f>
        <v>0</v>
      </c>
      <c r="N123" s="138">
        <f>IF(M$109=0,"N.D.",M123/M$109)</f>
        <v>0</v>
      </c>
      <c r="O123" s="11">
        <f>O59/TC_PROM</f>
        <v>0</v>
      </c>
      <c r="P123" s="138">
        <f>IF(O$109=0,"N.D.",O123/O$109)</f>
        <v>0</v>
      </c>
      <c r="R123" s="7"/>
      <c r="S123" s="8"/>
      <c r="T123" s="42"/>
      <c r="U123" s="8"/>
      <c r="V123" s="42"/>
      <c r="W123" s="8">
        <f>(BDER!L479+BDER!L502+BDER!L569+BDER!L614)/1000</f>
        <v>0</v>
      </c>
      <c r="X123" s="42">
        <f>IF(W$109=0,"N.D.",W123/W$109)</f>
        <v>0</v>
      </c>
      <c r="Y123" s="8">
        <f>(BDER!L524+BDER!L546+BDER!L591+BDER!L636+BDER!L658)/1000</f>
        <v>0</v>
      </c>
      <c r="Z123" s="42">
        <f>IF(Y$109=0,"N.D.",Y123/Y$109)</f>
        <v>0</v>
      </c>
      <c r="AA123" s="8"/>
      <c r="AB123" s="42"/>
      <c r="AC123" s="8"/>
      <c r="AD123" s="42"/>
      <c r="AE123" s="11">
        <f>+AA123+U123+S123+AC123+W123+Y123</f>
        <v>0</v>
      </c>
      <c r="AF123" s="42">
        <f>IF(AE$41=0,"N.D.",AE123/AE$41)</f>
        <v>0</v>
      </c>
      <c r="AH123" s="7"/>
      <c r="AI123" s="8"/>
      <c r="AJ123" s="42"/>
      <c r="AK123" s="8"/>
      <c r="AL123" s="42"/>
      <c r="AM123" s="8">
        <f>(BDER!H479+BDER!H502+BDER!H569+BDER!H614)/1000</f>
        <v>0</v>
      </c>
      <c r="AN123" s="42">
        <f>IF(AM$109=0,"N.D.",AM123/AM$109)</f>
        <v>0</v>
      </c>
      <c r="AO123" s="8">
        <f>(BDER!H524+BDER!H546+BDER!H591+BDER!H636+BDER!H658)/1000</f>
        <v>0</v>
      </c>
      <c r="AP123" s="42">
        <f>IF(AO$109=0,"N.D.",AO123/AO$109)</f>
        <v>0</v>
      </c>
      <c r="AQ123" s="8"/>
      <c r="AR123" s="42"/>
      <c r="AS123" s="8"/>
      <c r="AT123" s="42"/>
      <c r="AU123" s="11">
        <f>+AQ123+AK123+AI123+AS123+AM123+AO123</f>
        <v>0</v>
      </c>
      <c r="AV123" s="42">
        <f>IF(AU$41=0,"N.D.",AU123/AU$41)</f>
        <v>0</v>
      </c>
    </row>
    <row r="124" spans="1:60">
      <c r="B124" s="4" t="s">
        <v>41</v>
      </c>
      <c r="C124" s="14"/>
      <c r="D124" s="139" t="str">
        <f>IF(C$109=0,"N.D.",C124/C$109)</f>
        <v>0</v>
      </c>
      <c r="E124" s="14">
        <f>E60/TC_PROM</f>
        <v>39.211757841858</v>
      </c>
      <c r="F124" s="139">
        <f>IF(E$109=0,"N.D.",E124/E$109)</f>
        <v>0.014881010897022</v>
      </c>
      <c r="G124" s="14">
        <f>G60/TC_PROM</f>
        <v>-10.13327</v>
      </c>
      <c r="H124" s="139">
        <f>IF(G$109=0,"N.D.",G124/G$109)</f>
        <v>-0.0064292216345024</v>
      </c>
      <c r="I124" s="14">
        <f>I60/TC_PROM</f>
        <v>11.86004</v>
      </c>
      <c r="J124" s="139">
        <f>IF(I$109=0,"N.D.",I124/I$109)</f>
        <v>0.1150368349419</v>
      </c>
      <c r="K124" s="14">
        <f>K60/TC_PROM</f>
        <v>-23.30820848661</v>
      </c>
      <c r="L124" s="139">
        <f>IF(K$109=0,"N.D.",K124/K$109)</f>
        <v>-0.0027325338619404</v>
      </c>
      <c r="M124" s="14">
        <f>M60/TC_PROM</f>
        <v>-17.776516455045</v>
      </c>
      <c r="N124" s="139">
        <f>IF(M$109=0,"N.D.",M124/M$109)</f>
        <v>-0.048539337139163</v>
      </c>
      <c r="O124" s="14">
        <f>O60/TC_PROM</f>
        <v>-0.096752853130804</v>
      </c>
      <c r="P124" s="139">
        <f>IF(O$109=0,"N.D.",O124/O$109)</f>
        <v>-7.3240123175345E-6</v>
      </c>
      <c r="R124" s="4" t="s">
        <v>41</v>
      </c>
      <c r="S124" s="14"/>
      <c r="T124" s="43"/>
      <c r="U124" s="14"/>
      <c r="V124" s="43"/>
      <c r="W124" s="14">
        <f>W119+W120+W121-W122-W123</f>
        <v>-10.44</v>
      </c>
      <c r="X124" s="43">
        <f>IF(W$109=0,"N.D.",W124/W$109)</f>
        <v>-0.0074541558703976</v>
      </c>
      <c r="Y124" s="14">
        <f>Y119+Y120+Y121-Y122-Y123</f>
        <v>8.7</v>
      </c>
      <c r="Z124" s="43">
        <f>IF(Y$109=0,"N.D.",Y124/Y$109)</f>
        <v>0.083754512635379</v>
      </c>
      <c r="AA124" s="14"/>
      <c r="AB124" s="43"/>
      <c r="AC124" s="14"/>
      <c r="AD124" s="43"/>
      <c r="AE124" s="14">
        <f>AE119+AE120+AE121-AE122</f>
        <v>-1.74</v>
      </c>
      <c r="AF124" s="43">
        <f>IF(AE$41=0,"N.D.",AE124/AE$41)</f>
        <v>-9.5701917323755E-6</v>
      </c>
      <c r="AH124" s="4" t="s">
        <v>41</v>
      </c>
      <c r="AI124" s="14"/>
      <c r="AJ124" s="43"/>
      <c r="AK124" s="14"/>
      <c r="AL124" s="43"/>
      <c r="AM124" s="14">
        <f>AM119+AM120+AM121-AM122-AM123</f>
        <v>-0.5341</v>
      </c>
      <c r="AN124" s="43">
        <f>IF(AM$109=0,"N.D.",AM124/AM$109)</f>
        <v>-0.00039650833910266</v>
      </c>
      <c r="AO124" s="14">
        <f>AO119+AO120+AO121-AO122-AO123</f>
        <v>43.42528</v>
      </c>
      <c r="AP124" s="43">
        <f>IF(AO$109=0,"N.D.",AO124/AO$109)</f>
        <v>0.32960136670024</v>
      </c>
      <c r="AQ124" s="14"/>
      <c r="AR124" s="43"/>
      <c r="AS124" s="14"/>
      <c r="AT124" s="43"/>
      <c r="AU124" s="14">
        <f>AU119+AU120+AU121-AU122</f>
        <v>42.89118</v>
      </c>
      <c r="AV124" s="43">
        <f>IF(AU$41=0,"N.D.",AU124/AU$41)</f>
        <v>0.00016970568368578</v>
      </c>
    </row>
    <row r="125" spans="1:60">
      <c r="B125" s="4" t="s">
        <v>42</v>
      </c>
      <c r="C125" s="14"/>
      <c r="D125" s="139" t="str">
        <f>IF(C$109=0,"N.D.",C125/C$109)</f>
        <v>0</v>
      </c>
      <c r="E125" s="14">
        <f>E61/TC_PROM</f>
        <v>275.25446333215</v>
      </c>
      <c r="F125" s="139">
        <f>IF(E$109=0,"N.D.",E125/E$109)</f>
        <v>0.1044601133369</v>
      </c>
      <c r="G125" s="14">
        <f>G61/TC_PROM</f>
        <v>99.23292</v>
      </c>
      <c r="H125" s="139">
        <f>IF(G$109=0,"N.D.",G125/G$109)</f>
        <v>0.062959976011578</v>
      </c>
      <c r="I125" s="14">
        <f>I61/TC_PROM</f>
        <v>39.4674</v>
      </c>
      <c r="J125" s="139">
        <f>IF(I$109=0,"N.D.",I125/I$109)</f>
        <v>0.3828153007398</v>
      </c>
      <c r="K125" s="14">
        <f>K61/TC_PROM</f>
        <v>490.18596302559</v>
      </c>
      <c r="L125" s="139">
        <f>IF(K$109=0,"N.D.",K125/K$109)</f>
        <v>0.057466868094335</v>
      </c>
      <c r="M125" s="14">
        <f>M61/TC_PROM</f>
        <v>159.63207596614</v>
      </c>
      <c r="N125" s="139">
        <f>IF(M$109=0,"N.D.",M125/M$109)</f>
        <v>0.43588040284158</v>
      </c>
      <c r="O125" s="14">
        <f>O61/TC_PROM</f>
        <v>1063.7233780772</v>
      </c>
      <c r="P125" s="139">
        <f>IF(O$109=0,"N.D.",O125/O$109)</f>
        <v>0.080521895441722</v>
      </c>
      <c r="R125" s="4" t="s">
        <v>42</v>
      </c>
      <c r="S125" s="14"/>
      <c r="T125" s="43"/>
      <c r="U125" s="14"/>
      <c r="V125" s="43"/>
      <c r="W125" s="14">
        <f>+W117-W124</f>
        <v>-35.543</v>
      </c>
      <c r="X125" s="43">
        <f>IF(W$109=0,"N.D.",W125/W$109)</f>
        <v>-0.025377687940761</v>
      </c>
      <c r="Y125" s="14">
        <f>+Y117-Y124</f>
        <v>48.277</v>
      </c>
      <c r="Z125" s="43">
        <f>IF(Y$109=0,"N.D.",Y125/Y$109)</f>
        <v>0.46476052948255</v>
      </c>
      <c r="AA125" s="14"/>
      <c r="AB125" s="43"/>
      <c r="AC125" s="14"/>
      <c r="AD125" s="43"/>
      <c r="AE125" s="14">
        <f>+AE117-AE124</f>
        <v>12.734</v>
      </c>
      <c r="AF125" s="43">
        <f>IF(AE$41=0,"N.D.",AE125/AE$41)</f>
        <v>7.0038403172453E-5</v>
      </c>
      <c r="AH125" s="4" t="s">
        <v>42</v>
      </c>
      <c r="AI125" s="14"/>
      <c r="AJ125" s="43"/>
      <c r="AK125" s="14"/>
      <c r="AL125" s="43"/>
      <c r="AM125" s="14">
        <f>+AM117-AM124</f>
        <v>-84.59463</v>
      </c>
      <c r="AN125" s="43">
        <f>IF(AM$109=0,"N.D.",AM125/AM$109)</f>
        <v>-0.062801865265501</v>
      </c>
      <c r="AO125" s="14">
        <f>+AO117-AO124</f>
        <v>-13.80692</v>
      </c>
      <c r="AP125" s="43">
        <f>IF(AO$109=0,"N.D.",AO125/AO$109)</f>
        <v>-0.10479563291062</v>
      </c>
      <c r="AQ125" s="14"/>
      <c r="AR125" s="43"/>
      <c r="AS125" s="14"/>
      <c r="AT125" s="43"/>
      <c r="AU125" s="14">
        <f>+AU117-AU124</f>
        <v>-98.40155</v>
      </c>
      <c r="AV125" s="43">
        <f>IF(AU$41=0,"N.D.",AU125/AU$41)</f>
        <v>-0.00038934117267212</v>
      </c>
    </row>
    <row r="126" spans="1:60">
      <c r="B126" s="1"/>
      <c r="C126" s="30"/>
      <c r="D126" s="140"/>
      <c r="E126" s="30"/>
      <c r="F126" s="140"/>
      <c r="G126" s="30"/>
      <c r="H126" s="140"/>
      <c r="I126" s="30"/>
      <c r="J126" s="140"/>
      <c r="K126" s="30"/>
      <c r="L126" s="140"/>
      <c r="M126" s="30"/>
      <c r="N126" s="140"/>
      <c r="O126" s="30"/>
      <c r="P126" s="140"/>
      <c r="R126" s="1"/>
      <c r="S126" s="30"/>
      <c r="T126" s="44"/>
      <c r="U126" s="30"/>
      <c r="V126" s="44"/>
      <c r="W126" s="30"/>
      <c r="X126" s="44"/>
      <c r="Y126" s="30"/>
      <c r="Z126" s="44"/>
      <c r="AA126" s="30"/>
      <c r="AB126" s="44"/>
      <c r="AC126" s="30"/>
      <c r="AD126" s="44"/>
      <c r="AE126" s="30"/>
      <c r="AF126" s="44"/>
      <c r="AH126" s="1"/>
      <c r="AI126" s="30"/>
      <c r="AJ126" s="44"/>
      <c r="AK126" s="30"/>
      <c r="AL126" s="44"/>
      <c r="AM126" s="30"/>
      <c r="AN126" s="44"/>
      <c r="AO126" s="30"/>
      <c r="AP126" s="44"/>
      <c r="AQ126" s="30"/>
      <c r="AR126" s="44"/>
      <c r="AS126" s="30"/>
      <c r="AT126" s="44"/>
      <c r="AU126" s="30"/>
      <c r="AV126" s="44"/>
    </row>
    <row r="127" spans="1:60">
      <c r="B127" s="7" t="s">
        <v>44</v>
      </c>
      <c r="C127" s="8"/>
      <c r="D127" s="141" t="str">
        <f>IF(C$109=0,"N.D.",C127/C$109)</f>
        <v>0</v>
      </c>
      <c r="E127" s="8">
        <f>E63/TC_PROM</f>
        <v>76.007953601519</v>
      </c>
      <c r="F127" s="141">
        <f>IF(E$109=0,"N.D.",E127/E$109)</f>
        <v>0.028845306817568</v>
      </c>
      <c r="G127" s="8">
        <f>G63/TC_PROM</f>
        <v>0</v>
      </c>
      <c r="H127" s="141">
        <f>IF(G$109=0,"N.D.",G127/G$109)</f>
        <v>0</v>
      </c>
      <c r="I127" s="8">
        <f>I63/TC_PROM</f>
        <v>0</v>
      </c>
      <c r="J127" s="141">
        <f>IF(I$109=0,"N.D.",I127/I$109)</f>
        <v>0</v>
      </c>
      <c r="K127" s="8">
        <f>K63/TC_PROM</f>
        <v>198.13239784819</v>
      </c>
      <c r="L127" s="141">
        <f>IF(K$109=0,"N.D.",K127/K$109)</f>
        <v>0.023228017999694</v>
      </c>
      <c r="M127" s="8">
        <f>M63/TC_PROM</f>
        <v>34.157321704047</v>
      </c>
      <c r="N127" s="141">
        <f>IF(M$109=0,"N.D.",M127/M$109)</f>
        <v>0.093267640943961</v>
      </c>
      <c r="O127" s="8">
        <f>O63/TC_PROM</f>
        <v>308.29767315375</v>
      </c>
      <c r="P127" s="141">
        <f>IF(O$109=0,"N.D.",O127/O$109)</f>
        <v>0.023337564553188</v>
      </c>
      <c r="R127" s="7" t="s">
        <v>43</v>
      </c>
      <c r="S127" s="8"/>
      <c r="T127" s="29"/>
      <c r="U127" s="8"/>
      <c r="V127" s="29"/>
      <c r="W127" s="8">
        <f>(BDER!L482+BDER!L505+BDER!L572+BDER!L617)/1000</f>
        <v>0</v>
      </c>
      <c r="X127" s="29">
        <f>IF(W$109=0,"N.D.",W127/W$109)</f>
        <v>0</v>
      </c>
      <c r="Y127" s="8">
        <f>(BDER!L527+BDER!L549+BDER!L594+BDER!L639+BDER!L661)/1000</f>
        <v>0</v>
      </c>
      <c r="Z127" s="29">
        <f>IF(Y$109=0,"N.D.",Y127/Y$109)</f>
        <v>0</v>
      </c>
      <c r="AA127" s="8"/>
      <c r="AB127" s="29"/>
      <c r="AC127" s="8"/>
      <c r="AD127" s="29"/>
      <c r="AE127" s="8">
        <f>+AA127+U127+S127+AC127+W127+Y127</f>
        <v>0</v>
      </c>
      <c r="AF127" s="29">
        <f>IF(AE$41=0,"N.D.",AE127/AE$41)</f>
        <v>0</v>
      </c>
      <c r="AH127" s="7" t="s">
        <v>43</v>
      </c>
      <c r="AI127" s="8"/>
      <c r="AJ127" s="29"/>
      <c r="AK127" s="8"/>
      <c r="AL127" s="29"/>
      <c r="AM127" s="8">
        <f>(BDER!H482+BDER!H505+BDER!H572+BDER!H617)/1000</f>
        <v>0</v>
      </c>
      <c r="AN127" s="29">
        <f>IF(AM$109=0,"N.D.",AM127/AM$109)</f>
        <v>0</v>
      </c>
      <c r="AO127" s="8">
        <f>(BDER!H527+BDER!H549+BDER!H594+BDER!H639+BDER!H661)/1000</f>
        <v>0</v>
      </c>
      <c r="AP127" s="29">
        <f>IF(AO$109=0,"N.D.",AO127/AO$109)</f>
        <v>0</v>
      </c>
      <c r="AQ127" s="8"/>
      <c r="AR127" s="29"/>
      <c r="AS127" s="8"/>
      <c r="AT127" s="29"/>
      <c r="AU127" s="8">
        <f>+AQ127+AK127+AI127+AS127+AM127+AO127</f>
        <v>0</v>
      </c>
      <c r="AV127" s="29">
        <f>IF(AU$41=0,"N.D.",AU127/AU$41)</f>
        <v>0</v>
      </c>
    </row>
    <row r="128" spans="1:60">
      <c r="B128" s="7" t="s">
        <v>45</v>
      </c>
      <c r="C128" s="11"/>
      <c r="D128" s="138" t="str">
        <f>IF(C$109=0,"N.D.",C128/C$109)</f>
        <v>0</v>
      </c>
      <c r="E128" s="11">
        <f>E64/TC_PROM</f>
        <v>0</v>
      </c>
      <c r="F128" s="138">
        <f>IF(E$109=0,"N.D.",E128/E$109)</f>
        <v>0</v>
      </c>
      <c r="G128" s="11">
        <f>G64/TC_PROM</f>
        <v>0</v>
      </c>
      <c r="H128" s="138">
        <f>IF(G$109=0,"N.D.",G128/G$109)</f>
        <v>0</v>
      </c>
      <c r="I128" s="11">
        <f>I64/TC_PROM</f>
        <v>0</v>
      </c>
      <c r="J128" s="138">
        <f>IF(I$109=0,"N.D.",I128/I$109)</f>
        <v>0</v>
      </c>
      <c r="K128" s="11">
        <f>K64/TC_PROM</f>
        <v>0</v>
      </c>
      <c r="L128" s="138">
        <f>IF(K$109=0,"N.D.",K128/K$109)</f>
        <v>0</v>
      </c>
      <c r="M128" s="11">
        <f>M64/TC_PROM</f>
        <v>0</v>
      </c>
      <c r="N128" s="138">
        <f>IF(M$109=0,"N.D.",M128/M$109)</f>
        <v>0</v>
      </c>
      <c r="O128" s="11">
        <f>O64/TC_PROM</f>
        <v>0</v>
      </c>
      <c r="P128" s="138">
        <f>IF(O$109=0,"N.D.",O128/O$109)</f>
        <v>0</v>
      </c>
      <c r="R128" s="7" t="s">
        <v>45</v>
      </c>
      <c r="S128" s="8"/>
      <c r="T128" s="42"/>
      <c r="U128" s="8"/>
      <c r="V128" s="42"/>
      <c r="W128" s="8">
        <f>(BDER!L483+BDER!L506+BDER!L573+BDER!L618)/1000</f>
        <v>0</v>
      </c>
      <c r="X128" s="42">
        <f>IF(W$109=0,"N.D.",W128/W$109)</f>
        <v>0</v>
      </c>
      <c r="Y128" s="8">
        <f>(BDER!L528+BDER!L550+BDER!L595+BDER!L640+BDER!L662)/1000</f>
        <v>0</v>
      </c>
      <c r="Z128" s="42">
        <f>IF(Y$109=0,"N.D.",Y128/Y$109)</f>
        <v>0</v>
      </c>
      <c r="AA128" s="8"/>
      <c r="AB128" s="42"/>
      <c r="AC128" s="8"/>
      <c r="AD128" s="42"/>
      <c r="AE128" s="11">
        <f>+AA128+U128+S128+AC128+W128+Y128</f>
        <v>0</v>
      </c>
      <c r="AF128" s="42">
        <f>IF(AE$41=0,"N.D.",AE128/AE$41)</f>
        <v>0</v>
      </c>
      <c r="AH128" s="7" t="s">
        <v>45</v>
      </c>
      <c r="AI128" s="8"/>
      <c r="AJ128" s="42"/>
      <c r="AK128" s="8"/>
      <c r="AL128" s="42"/>
      <c r="AM128" s="8">
        <f>(BDER!H483+BDER!H506+BDER!H573+BDER!H618)/1000</f>
        <v>0</v>
      </c>
      <c r="AN128" s="42">
        <f>IF(AM$109=0,"N.D.",AM128/AM$109)</f>
        <v>0</v>
      </c>
      <c r="AO128" s="8">
        <f>(BDER!H528+BDER!H550+BDER!H595+BDER!H640+BDER!H662)/1000</f>
        <v>0</v>
      </c>
      <c r="AP128" s="42">
        <f>IF(AO$109=0,"N.D.",AO128/AO$109)</f>
        <v>0</v>
      </c>
      <c r="AQ128" s="8"/>
      <c r="AR128" s="42"/>
      <c r="AS128" s="8"/>
      <c r="AT128" s="42"/>
      <c r="AU128" s="11">
        <f>+AQ128+AK128+AI128+AS128+AM128+AO128</f>
        <v>0</v>
      </c>
      <c r="AV128" s="42">
        <f>IF(AU$41=0,"N.D.",AU128/AU$41)</f>
        <v>0</v>
      </c>
    </row>
    <row r="129" spans="1:60">
      <c r="B129" s="4" t="s">
        <v>47</v>
      </c>
      <c r="C129" s="14"/>
      <c r="D129" s="139" t="str">
        <f>IF(C$109=0,"N.D.",C129/C$109)</f>
        <v>0</v>
      </c>
      <c r="E129" s="14">
        <f>E65/TC_PROM</f>
        <v>199.24650973063</v>
      </c>
      <c r="F129" s="139">
        <f>IF(E$109=0,"N.D.",E129/E$109)</f>
        <v>0.075614806519336</v>
      </c>
      <c r="G129" s="14">
        <f>G65/TC_PROM</f>
        <v>99.23292</v>
      </c>
      <c r="H129" s="139">
        <f>IF(G$109=0,"N.D.",G129/G$109)</f>
        <v>0.062959976011578</v>
      </c>
      <c r="I129" s="14">
        <f>I65/TC_PROM</f>
        <v>39.4674</v>
      </c>
      <c r="J129" s="139">
        <f>IF(I$109=0,"N.D.",I129/I$109)</f>
        <v>0.3828153007398</v>
      </c>
      <c r="K129" s="14">
        <f>K65/TC_PROM</f>
        <v>292.05356517741</v>
      </c>
      <c r="L129" s="139">
        <f>IF(K$109=0,"N.D.",K129/K$109)</f>
        <v>0.03423885009464</v>
      </c>
      <c r="M129" s="14">
        <f>M65/TC_PROM</f>
        <v>125.47475426209</v>
      </c>
      <c r="N129" s="139">
        <f>IF(M$109=0,"N.D.",M129/M$109)</f>
        <v>0.34261276189762</v>
      </c>
      <c r="O129" s="14">
        <f>O65/TC_PROM</f>
        <v>755.42570492346</v>
      </c>
      <c r="P129" s="139">
        <f>IF(O$109=0,"N.D.",O129/O$109)</f>
        <v>0.057184330888534</v>
      </c>
      <c r="R129" s="4" t="s">
        <v>47</v>
      </c>
      <c r="S129" s="14"/>
      <c r="T129" s="43"/>
      <c r="U129" s="14"/>
      <c r="V129" s="43"/>
      <c r="W129" s="14">
        <f>+W125-W127-W128</f>
        <v>-35.543</v>
      </c>
      <c r="X129" s="43">
        <f>IF(W$109=0,"N.D.",W129/W$109)</f>
        <v>-0.025377687940761</v>
      </c>
      <c r="Y129" s="14">
        <f>+Y125-Y127-Y128</f>
        <v>48.277</v>
      </c>
      <c r="Z129" s="43">
        <f>IF(Y$109=0,"N.D.",Y129/Y$109)</f>
        <v>0.46476052948255</v>
      </c>
      <c r="AA129" s="14"/>
      <c r="AB129" s="43"/>
      <c r="AC129" s="14"/>
      <c r="AD129" s="43"/>
      <c r="AE129" s="14">
        <f>+AE125-AE127-AE128</f>
        <v>12.734</v>
      </c>
      <c r="AF129" s="43">
        <f>IF(AE$41=0,"N.D.",AE129/AE$41)</f>
        <v>7.0038403172453E-5</v>
      </c>
      <c r="AH129" s="4" t="s">
        <v>47</v>
      </c>
      <c r="AI129" s="14"/>
      <c r="AJ129" s="43"/>
      <c r="AK129" s="14"/>
      <c r="AL129" s="43"/>
      <c r="AM129" s="14">
        <f>+AM125-AM127-AM128</f>
        <v>-84.59463</v>
      </c>
      <c r="AN129" s="43">
        <f>IF(AM$109=0,"N.D.",AM129/AM$109)</f>
        <v>-0.062801865265501</v>
      </c>
      <c r="AO129" s="14">
        <f>+AO125-AO127-AO128</f>
        <v>-13.80692</v>
      </c>
      <c r="AP129" s="43">
        <f>IF(AO$109=0,"N.D.",AO129/AO$109)</f>
        <v>-0.10479563291062</v>
      </c>
      <c r="AQ129" s="14"/>
      <c r="AR129" s="43"/>
      <c r="AS129" s="14"/>
      <c r="AT129" s="43"/>
      <c r="AU129" s="14">
        <f>+AU125-AU127-AU128</f>
        <v>-98.40155</v>
      </c>
      <c r="AV129" s="43">
        <f>IF(AU$41=0,"N.D.",AU129/AU$41)</f>
        <v>-0.00038934117267212</v>
      </c>
    </row>
    <row r="130" spans="1:60">
      <c r="B130" s="4" t="s">
        <v>48</v>
      </c>
      <c r="C130" s="20"/>
      <c r="D130" s="142" t="str">
        <f>IF(C$109=0,"N.D.",C130/C$109)</f>
        <v>0</v>
      </c>
      <c r="E130" s="20">
        <f>E66/TC_PROM</f>
        <v>359.48588168981</v>
      </c>
      <c r="F130" s="142">
        <f>IF(E$109=0,"N.D.",E130/E$109)</f>
        <v>0.13642625623484</v>
      </c>
      <c r="G130" s="20">
        <f>G66/TC_PROM</f>
        <v>107.71134</v>
      </c>
      <c r="H130" s="142">
        <f>IF(G$109=0,"N.D.",G130/G$109)</f>
        <v>0.06833925054886</v>
      </c>
      <c r="I130" s="20">
        <f>I66/TC_PROM</f>
        <v>81.45177</v>
      </c>
      <c r="J130" s="142">
        <f>IF(I$109=0,"N.D.",I130/I$109)</f>
        <v>0.79004403199449</v>
      </c>
      <c r="K130" s="20">
        <f>K66/TC_PROM</f>
        <v>562.88878851707</v>
      </c>
      <c r="L130" s="142">
        <f>IF(K$109=0,"N.D.",K130/K$109)</f>
        <v>0.065990171488859</v>
      </c>
      <c r="M130" s="20">
        <f>M66/TC_PROM</f>
        <v>143.4340873581</v>
      </c>
      <c r="N130" s="142">
        <f>IF(M$109=0,"N.D.",M130/M$109)</f>
        <v>0.39165128562333</v>
      </c>
      <c r="O130" s="20">
        <f>O66/TC_PROM</f>
        <v>1254.971867565</v>
      </c>
      <c r="P130" s="142">
        <f>IF(O$109=0,"N.D.",O130/O$109)</f>
        <v>0.094999052935203</v>
      </c>
      <c r="R130" s="4" t="s">
        <v>48</v>
      </c>
      <c r="S130" s="20"/>
      <c r="T130" s="45"/>
      <c r="U130" s="20"/>
      <c r="V130" s="45"/>
      <c r="W130" s="20">
        <f>+W117+W115</f>
        <v>-32.689</v>
      </c>
      <c r="X130" s="45">
        <f>IF(W$109=0,"N.D.",W130/W$109)</f>
        <v>-0.023339933069677</v>
      </c>
      <c r="Y130" s="20">
        <f>+Y117+Y115</f>
        <v>70.675</v>
      </c>
      <c r="Z130" s="45">
        <f>IF(Y$109=0,"N.D.",Y130/Y$109)</f>
        <v>0.68038507821901</v>
      </c>
      <c r="AA130" s="20"/>
      <c r="AB130" s="45"/>
      <c r="AC130" s="20"/>
      <c r="AD130" s="45"/>
      <c r="AE130" s="20">
        <f>+AE117+AE115</f>
        <v>37.986</v>
      </c>
      <c r="AF130" s="45">
        <f>IF(AE$41=0,"N.D.",AE130/AE$41)</f>
        <v>0.0002089271857161</v>
      </c>
      <c r="AH130" s="4" t="s">
        <v>48</v>
      </c>
      <c r="AI130" s="20"/>
      <c r="AJ130" s="45"/>
      <c r="AK130" s="20"/>
      <c r="AL130" s="45"/>
      <c r="AM130" s="20">
        <f>+AM117+AM115</f>
        <v>-69.60101</v>
      </c>
      <c r="AN130" s="45">
        <f>IF(AM$109=0,"N.D.",AM130/AM$109)</f>
        <v>-0.051670812347815</v>
      </c>
      <c r="AO130" s="20">
        <f>+AO117+AO115</f>
        <v>50.62077</v>
      </c>
      <c r="AP130" s="45">
        <f>IF(AO$109=0,"N.D.",AO130/AO$109)</f>
        <v>0.38421571433548</v>
      </c>
      <c r="AQ130" s="20"/>
      <c r="AR130" s="45"/>
      <c r="AS130" s="20"/>
      <c r="AT130" s="45"/>
      <c r="AU130" s="20">
        <f>+AU117+AU115</f>
        <v>-18.98024</v>
      </c>
      <c r="AV130" s="45">
        <f>IF(AU$41=0,"N.D.",AU130/AU$41)</f>
        <v>-7.5098297732082E-5</v>
      </c>
    </row>
    <row r="131" spans="1:60">
      <c r="B131" s="4" t="s">
        <v>49</v>
      </c>
      <c r="C131" s="20"/>
      <c r="D131" s="142" t="str">
        <f>IF(C$109=0,"N.D.",C131/C$109)</f>
        <v>0</v>
      </c>
      <c r="E131" s="20">
        <f>E67/TC_PROM</f>
        <v>244.26617024643</v>
      </c>
      <c r="F131" s="142">
        <f>IF(E$109=0,"N.D.",E131/E$109)</f>
        <v>0.092699938520247</v>
      </c>
      <c r="G131" s="20">
        <f>G67/TC_PROM</f>
        <v>117.84461</v>
      </c>
      <c r="H131" s="142">
        <f>IF(G$109=0,"N.D.",G131/G$109)</f>
        <v>0.074768472183362</v>
      </c>
      <c r="I131" s="20">
        <f>I67/TC_PROM</f>
        <v>69.59173</v>
      </c>
      <c r="J131" s="142">
        <f>IF(I$109=0,"N.D.",I131/I$109)</f>
        <v>0.67500719705258</v>
      </c>
      <c r="K131" s="20">
        <f>K67/TC_PROM</f>
        <v>425.38191403623</v>
      </c>
      <c r="L131" s="142">
        <f>IF(K$109=0,"N.D.",K131/K$109)</f>
        <v>0.04986957642106</v>
      </c>
      <c r="M131" s="20">
        <f>M67/TC_PROM</f>
        <v>127.90466358135</v>
      </c>
      <c r="N131" s="142">
        <f>IF(M$109=0,"N.D.",M131/M$109)</f>
        <v>0.34924770569906</v>
      </c>
      <c r="O131" s="20">
        <f>O67/TC_PROM</f>
        <v>984.93964361734</v>
      </c>
      <c r="P131" s="142">
        <f>IF(O$109=0,"N.D.",O131/O$109)</f>
        <v>0.074558112225682</v>
      </c>
    </row>
    <row r="132" spans="1:60">
      <c r="B132" s="7" t="s">
        <v>50</v>
      </c>
      <c r="C132" s="20"/>
      <c r="D132" s="142" t="str">
        <f>IF(C$109=0,"N.D.",C132/C$109)</f>
        <v>0</v>
      </c>
      <c r="E132" s="20">
        <f>E68/TC_PROM</f>
        <v>0</v>
      </c>
      <c r="F132" s="142">
        <f>IF(E$109=0,"N.D.",E132/E$109)</f>
        <v>0</v>
      </c>
      <c r="G132" s="20">
        <f>G68/TC_PROM</f>
        <v>0</v>
      </c>
      <c r="H132" s="142">
        <f>IF(G$109=0,"N.D.",G132/G$109)</f>
        <v>0</v>
      </c>
      <c r="I132" s="20">
        <f>I68/TC_PROM</f>
        <v>0</v>
      </c>
      <c r="J132" s="142">
        <f>IF(I$109=0,"N.D.",I132/I$109)</f>
        <v>0</v>
      </c>
      <c r="K132" s="20">
        <f>K68/TC_PROM</f>
        <v>0</v>
      </c>
      <c r="L132" s="142">
        <f>IF(K$109=0,"N.D.",K132/K$109)</f>
        <v>0</v>
      </c>
      <c r="M132" s="20">
        <f>M68/TC_PROM</f>
        <v>0</v>
      </c>
      <c r="N132" s="142">
        <f>IF(M$109=0,"N.D.",M132/M$109)</f>
        <v>0</v>
      </c>
      <c r="O132" s="20">
        <f>O68/TC_PROM</f>
        <v>0</v>
      </c>
      <c r="P132" s="142">
        <f>IF(O$109=0,"N.D.",O132/O$109)</f>
        <v>0</v>
      </c>
    </row>
    <row r="133" spans="1:60">
      <c r="B133" s="4" t="s">
        <v>52</v>
      </c>
      <c r="C133" s="20"/>
      <c r="D133" s="142" t="str">
        <f>IF(C$109=0,"N.D.",C133/C$109)</f>
        <v>0</v>
      </c>
      <c r="E133" s="20">
        <f>E69/TC_PROM</f>
        <v>244.26617024643</v>
      </c>
      <c r="F133" s="142">
        <f>IF(E$109=0,"N.D.",E133/E$109)</f>
        <v>0.092699938520247</v>
      </c>
      <c r="G133" s="20">
        <f>G69/TC_PROM</f>
        <v>117.84461</v>
      </c>
      <c r="H133" s="142">
        <f>IF(G$109=0,"N.D.",G133/G$109)</f>
        <v>0.074768472183362</v>
      </c>
      <c r="I133" s="20">
        <f>I69/TC_PROM</f>
        <v>69.59173</v>
      </c>
      <c r="J133" s="142">
        <f>IF(I$109=0,"N.D.",I133/I$109)</f>
        <v>0.67500719705258</v>
      </c>
      <c r="K133" s="20">
        <f>K69/TC_PROM</f>
        <v>425.38191403623</v>
      </c>
      <c r="L133" s="142">
        <f>IF(K$109=0,"N.D.",K133/K$109)</f>
        <v>0.04986957642106</v>
      </c>
      <c r="M133" s="20">
        <f>M69/TC_PROM</f>
        <v>127.90466358135</v>
      </c>
      <c r="N133" s="142">
        <f>IF(M$109=0,"N.D.",M133/M$109)</f>
        <v>0.34924770569906</v>
      </c>
      <c r="O133" s="20">
        <f>O69/TC_PROM</f>
        <v>984.93964361734</v>
      </c>
      <c r="P133" s="142">
        <f>IF(O$109=0,"N.D.",O133/O$109)</f>
        <v>0.074558112225682</v>
      </c>
    </row>
    <row r="134" spans="1:60">
      <c r="B134" s="7" t="s">
        <v>53</v>
      </c>
      <c r="C134" s="20"/>
      <c r="D134" s="142" t="str">
        <f>IF(C$109=0,"N.D.",C134/C$109)</f>
        <v>0</v>
      </c>
      <c r="E134" s="20">
        <f>E70/TC_PROM</f>
        <v>0</v>
      </c>
      <c r="F134" s="142">
        <f>IF(E$109=0,"N.D.",E134/E$109)</f>
        <v>0</v>
      </c>
      <c r="G134" s="20">
        <f>G70/TC_PROM</f>
        <v>0</v>
      </c>
      <c r="H134" s="142">
        <f>IF(G$109=0,"N.D.",G134/G$109)</f>
        <v>0</v>
      </c>
      <c r="I134" s="20">
        <f>I70/TC_PROM</f>
        <v>0</v>
      </c>
      <c r="J134" s="142">
        <f>IF(I$109=0,"N.D.",I134/I$109)</f>
        <v>0</v>
      </c>
      <c r="K134" s="20">
        <f>K70/TC_PROM</f>
        <v>0</v>
      </c>
      <c r="L134" s="142">
        <f>IF(K$109=0,"N.D.",K134/K$109)</f>
        <v>0</v>
      </c>
      <c r="M134" s="20">
        <f>M70/TC_PROM</f>
        <v>0</v>
      </c>
      <c r="N134" s="142">
        <f>IF(M$109=0,"N.D.",M134/M$109)</f>
        <v>0</v>
      </c>
      <c r="O134" s="20">
        <f>O70/TC_PROM</f>
        <v>0</v>
      </c>
      <c r="P134" s="142">
        <f>IF(O$109=0,"N.D.",O134/O$109)</f>
        <v>0</v>
      </c>
    </row>
    <row r="135" spans="1:60">
      <c r="B135" s="4" t="s">
        <v>54</v>
      </c>
      <c r="C135" s="20"/>
      <c r="D135" s="142" t="str">
        <f>IF(C$109=0,"N.D.",C135/C$109)</f>
        <v>0</v>
      </c>
      <c r="E135" s="20">
        <f>E71/TC_PROM</f>
        <v>244.26617024643</v>
      </c>
      <c r="F135" s="142">
        <f>IF(E$109=0,"N.D.",E135/E$109)</f>
        <v>0.092699938520247</v>
      </c>
      <c r="G135" s="20">
        <f>G71/TC_PROM</f>
        <v>117.84461</v>
      </c>
      <c r="H135" s="142">
        <f>IF(G$109=0,"N.D.",G135/G$109)</f>
        <v>0.074768472183362</v>
      </c>
      <c r="I135" s="20">
        <f>I71/TC_PROM</f>
        <v>69.59173</v>
      </c>
      <c r="J135" s="142">
        <f>IF(I$109=0,"N.D.",I135/I$109)</f>
        <v>0.67500719705258</v>
      </c>
      <c r="K135" s="20">
        <f>K71/TC_PROM</f>
        <v>425.38191403623</v>
      </c>
      <c r="L135" s="142">
        <f>IF(K$109=0,"N.D.",K135/K$109)</f>
        <v>0.04986957642106</v>
      </c>
      <c r="M135" s="20">
        <f>M71/TC_PROM</f>
        <v>127.90466358135</v>
      </c>
      <c r="N135" s="142">
        <f>IF(M$109=0,"N.D.",M135/M$109)</f>
        <v>0.34924770569906</v>
      </c>
      <c r="O135" s="20">
        <f>O71/TC_PROM</f>
        <v>984.93964361734</v>
      </c>
      <c r="P135" s="142">
        <f>IF(O$109=0,"N.D.",O135/O$109)</f>
        <v>0.074558112225682</v>
      </c>
    </row>
    <row r="136" spans="1:60">
      <c r="B136" s="7"/>
      <c r="C136" s="143"/>
      <c r="D136" s="144"/>
      <c r="E136" s="143"/>
      <c r="F136" s="144"/>
      <c r="G136" s="143"/>
      <c r="H136" s="144"/>
      <c r="I136" s="143"/>
      <c r="J136" s="144"/>
      <c r="K136" s="143"/>
      <c r="L136" s="144"/>
      <c r="M136" s="143"/>
      <c r="N136" s="144"/>
      <c r="O136" s="143"/>
      <c r="P136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7:P107"/>
    <mergeCell ref="AX39:BH39"/>
    <mergeCell ref="AX2:BH2"/>
    <mergeCell ref="B2:P2"/>
    <mergeCell ref="B39:P39"/>
    <mergeCell ref="D75:P75"/>
  </mergeCells>
  <conditionalFormatting sqref="C72">
    <cfRule type="expression" dxfId="0" priority="1">
      <formula>ROUND(C72,0)=0</formula>
    </cfRule>
  </conditionalFormatting>
  <conditionalFormatting sqref="E72">
    <cfRule type="expression" dxfId="1" priority="2">
      <formula>ROUND(E72,0)=0</formula>
    </cfRule>
  </conditionalFormatting>
  <conditionalFormatting sqref="G72">
    <cfRule type="expression" dxfId="2" priority="3">
      <formula>ROUND(G72,0)=0</formula>
    </cfRule>
  </conditionalFormatting>
  <conditionalFormatting sqref="I72">
    <cfRule type="expression" dxfId="3" priority="4">
      <formula>ROUND(I72,0)=0</formula>
    </cfRule>
  </conditionalFormatting>
  <conditionalFormatting sqref="K72">
    <cfRule type="expression" dxfId="4" priority="5">
      <formula>ROUND(K72,0)=0</formula>
    </cfRule>
  </conditionalFormatting>
  <conditionalFormatting sqref="M72">
    <cfRule type="expression" dxfId="5" priority="6">
      <formula>ROUND(M72,0)=0</formula>
    </cfRule>
  </conditionalFormatting>
  <conditionalFormatting sqref="O72">
    <cfRule type="expression" dxfId="6" priority="7">
      <formula>ROUND(O72,0)=0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TERD">
    <outlinePr summaryBelow="1" summaryRight="1"/>
  </sheetPr>
  <dimension ref="A1:CG53"/>
  <sheetViews>
    <sheetView tabSelected="0" workbookViewId="0" zoomScale="70" zoomScaleNormal="70" showGridLines="false" showRowColHeaders="1">
      <selection activeCell="BX5" sqref="BX5"/>
    </sheetView>
  </sheetViews>
  <sheetFormatPr defaultRowHeight="14.4" outlineLevelRow="0" outlineLevelCol="0"/>
  <cols>
    <col min="2" max="2" width="16.81640625" customWidth="true" style="0"/>
    <col min="3" max="3" width="12.26953125" customWidth="true" style="0"/>
    <col min="4" max="4" width="9" customWidth="true" style="0"/>
    <col min="5" max="5" width="11.1796875" customWidth="true" style="0"/>
    <col min="6" max="6" width="9.1796875" customWidth="true" style="0"/>
    <col min="7" max="7" width="13.1796875" customWidth="true" style="0"/>
    <col min="8" max="8" width="8.54296875" customWidth="true" style="0"/>
    <col min="10" max="10" width="8.54296875" customWidth="true" style="0"/>
    <col min="11" max="11" width="12.26953125" customWidth="true" style="0"/>
    <col min="12" max="12" width="8.54296875" customWidth="true" style="0"/>
    <col min="13" max="13" width="12.26953125" customWidth="true" style="0"/>
    <col min="14" max="14" width="12" customWidth="true" style="0"/>
    <col min="16" max="16" width="8.81640625" customWidth="true" style="0"/>
    <col min="18" max="18" width="9" customWidth="true" style="0"/>
    <col min="19" max="19" width="11.453125" customWidth="true" style="0"/>
    <col min="20" max="20" width="8.81640625" customWidth="true" style="0"/>
    <col min="22" max="22" width="9" customWidth="true" style="0"/>
    <col min="24" max="24" width="8.54296875" customWidth="true" style="0"/>
    <col min="26" max="26" width="8.54296875" customWidth="true" style="0"/>
    <col min="28" max="28" width="8.453125" customWidth="true" style="0"/>
    <col min="29" max="29" width="10.7265625" customWidth="true" style="253"/>
    <col min="30" max="30" width="17.81640625" customWidth="true" style="0"/>
    <col min="31" max="31" width="11.1796875" customWidth="true" style="0"/>
    <col min="32" max="32" width="11.1796875" customWidth="true" style="0"/>
    <col min="33" max="33" width="8.81640625" customWidth="true" style="0"/>
    <col min="35" max="35" width="8.81640625" customWidth="true" style="0"/>
    <col min="37" max="37" width="9" customWidth="true" style="0"/>
    <col min="39" max="39" width="8.453125" customWidth="true" style="0"/>
    <col min="41" max="41" width="9.1796875" customWidth="true" style="0"/>
    <col min="43" max="43" width="8.7265625" customWidth="true" style="0"/>
    <col min="45" max="45" width="8.453125" customWidth="true" style="0"/>
    <col min="46" max="46" width="11.453125" customWidth="true" style="0"/>
    <col min="47" max="47" width="8.54296875" customWidth="true" style="0"/>
    <col min="49" max="49" width="11.54296875" customWidth="true" style="0"/>
    <col min="50" max="50" width="17.81640625" customWidth="true" style="0"/>
    <col min="51" max="51" width="12.1796875" customWidth="true" style="0"/>
    <col min="52" max="52" width="9.453125" customWidth="true" style="0"/>
    <col min="53" max="53" width="7.81640625" customWidth="true" style="0"/>
    <col min="54" max="54" width="9.1796875" customWidth="true" style="0"/>
    <col min="55" max="55" width="10.1796875" customWidth="true" style="0"/>
    <col min="56" max="56" width="9" customWidth="true" style="0"/>
    <col min="57" max="57" width="12.1796875" customWidth="true" style="0"/>
    <col min="59" max="59" width="16.81640625" customWidth="true" style="0"/>
    <col min="61" max="61" width="9.1796875" customWidth="true" style="0"/>
    <col min="63" max="63" width="8.81640625" customWidth="true" style="0"/>
    <col min="65" max="65" width="8.7265625" customWidth="true" style="0"/>
    <col min="67" max="67" width="8.54296875" customWidth="true" style="0"/>
    <col min="69" max="69" width="8.81640625" customWidth="true" style="0"/>
    <col min="70" max="70" width="10.26953125" customWidth="true" style="0"/>
    <col min="71" max="71" width="8.81640625" customWidth="true" style="0"/>
    <col min="73" max="73" width="14.26953125" customWidth="true" style="0"/>
    <col min="75" max="75" width="8.81640625" customWidth="true" style="0"/>
    <col min="76" max="76" width="9.1796875" customWidth="true" style="0"/>
    <col min="77" max="77" width="8.81640625" customWidth="true" style="0"/>
    <col min="78" max="78" width="9.453125" customWidth="true" style="0"/>
    <col min="79" max="79" width="9" customWidth="true" style="0"/>
    <col min="80" max="80" width="9.453125" customWidth="true" style="0"/>
    <col min="81" max="81" width="8.1796875" customWidth="true" style="0"/>
    <col min="82" max="82" width="9.7265625" customWidth="true" style="0"/>
    <col min="83" max="83" width="9.1796875" customWidth="true" style="0"/>
    <col min="85" max="85" width="8.7265625" customWidth="true" style="0"/>
  </cols>
  <sheetData>
    <row r="2" spans="1:85">
      <c r="A2" t="s">
        <v>64</v>
      </c>
      <c r="B2" t="s">
        <v>65</v>
      </c>
      <c r="AC2" s="253" t="s">
        <v>66</v>
      </c>
      <c r="AE2" t="s">
        <v>67</v>
      </c>
    </row>
    <row r="3" spans="1:85">
      <c r="B3" s="26"/>
      <c r="C3" s="2" t="s">
        <v>68</v>
      </c>
      <c r="D3" s="2"/>
      <c r="E3" s="2" t="s">
        <v>69</v>
      </c>
      <c r="F3" s="2"/>
      <c r="G3" s="2" t="s">
        <v>70</v>
      </c>
      <c r="H3" s="2"/>
      <c r="I3" s="2" t="s">
        <v>71</v>
      </c>
      <c r="J3" s="2"/>
      <c r="K3" s="2" t="s">
        <v>72</v>
      </c>
      <c r="L3" s="2"/>
      <c r="N3" t="s">
        <v>73</v>
      </c>
      <c r="P3" s="2"/>
      <c r="R3" s="2"/>
      <c r="T3" s="2"/>
      <c r="V3" s="2"/>
      <c r="X3" s="2"/>
      <c r="Z3" s="2"/>
      <c r="AB3" s="2"/>
      <c r="AC3" s="278"/>
      <c r="AE3" s="26"/>
      <c r="AF3" s="2" t="s">
        <v>74</v>
      </c>
      <c r="AG3" s="2"/>
      <c r="AH3" s="2" t="s">
        <v>75</v>
      </c>
      <c r="AI3" s="2"/>
      <c r="AJ3" s="2" t="s">
        <v>76</v>
      </c>
      <c r="AK3" s="2"/>
      <c r="AL3" s="2" t="s">
        <v>77</v>
      </c>
      <c r="AM3" s="2"/>
      <c r="AN3" s="2" t="s">
        <v>78</v>
      </c>
      <c r="AO3" s="2"/>
      <c r="AP3" s="2" t="s">
        <v>79</v>
      </c>
      <c r="AQ3" s="2"/>
      <c r="AR3" s="2" t="s">
        <v>80</v>
      </c>
      <c r="AS3" s="2"/>
      <c r="AT3" s="2" t="s">
        <v>72</v>
      </c>
      <c r="AU3" s="2"/>
      <c r="AX3" t="s">
        <v>81</v>
      </c>
      <c r="AY3" s="2"/>
      <c r="BA3" s="2"/>
      <c r="BC3" s="2"/>
      <c r="BD3" s="2"/>
      <c r="BE3" s="2"/>
      <c r="BG3" t="s">
        <v>82</v>
      </c>
      <c r="BI3" s="2"/>
      <c r="BK3" s="2"/>
      <c r="BM3" s="2"/>
      <c r="BO3" s="2"/>
      <c r="BQ3" s="2"/>
      <c r="BS3" s="2"/>
      <c r="BU3" t="s">
        <v>83</v>
      </c>
      <c r="BW3" s="2"/>
      <c r="BY3" s="2"/>
      <c r="CA3" s="2"/>
      <c r="CC3" s="2"/>
      <c r="CE3" s="2"/>
      <c r="CG3" s="2"/>
    </row>
    <row r="4" spans="1:85">
      <c r="B4" s="7" t="s">
        <v>84</v>
      </c>
      <c r="C4" s="194">
        <f>ajustes!B2</f>
        <v>0</v>
      </c>
      <c r="D4" s="203"/>
      <c r="E4" s="8">
        <f>+ajustes!C2</f>
        <v>0</v>
      </c>
      <c r="F4" s="203"/>
      <c r="G4" s="8">
        <f>+ajustes!D2</f>
        <v>0</v>
      </c>
      <c r="H4" s="203"/>
      <c r="I4" s="8">
        <f>+ajustes!E2</f>
        <v>0</v>
      </c>
      <c r="J4" s="203"/>
      <c r="K4" s="8">
        <f>SUM(C4,E4,G4,I4)</f>
        <v>0</v>
      </c>
      <c r="L4" s="203"/>
      <c r="N4" s="26"/>
      <c r="O4" s="2" t="s">
        <v>85</v>
      </c>
      <c r="P4" s="30"/>
      <c r="Q4" s="2" t="s">
        <v>86</v>
      </c>
      <c r="R4" s="30"/>
      <c r="S4" s="2" t="s">
        <v>87</v>
      </c>
      <c r="T4" s="30"/>
      <c r="U4" s="2" t="s">
        <v>88</v>
      </c>
      <c r="V4" s="30"/>
      <c r="W4" s="2" t="s">
        <v>89</v>
      </c>
      <c r="X4" s="30"/>
      <c r="Y4" s="2" t="s">
        <v>90</v>
      </c>
      <c r="Z4" s="30"/>
      <c r="AA4" s="2" t="s">
        <v>72</v>
      </c>
      <c r="AB4" s="30"/>
      <c r="AC4" s="275"/>
      <c r="AE4" s="7" t="s">
        <v>91</v>
      </c>
      <c r="AF4" s="203">
        <f>ajustes!L2</f>
        <v>0</v>
      </c>
      <c r="AG4" s="203"/>
      <c r="AH4" s="203">
        <f>ajustes!M2</f>
        <v>0</v>
      </c>
      <c r="AI4" s="203"/>
      <c r="AJ4" s="203">
        <f>ajustes!N2</f>
        <v>0</v>
      </c>
      <c r="AK4" s="203"/>
      <c r="AL4" s="203">
        <f>ajustes!O2</f>
        <v>0</v>
      </c>
      <c r="AM4" s="203"/>
      <c r="AN4" s="203">
        <f>ajustes!P2</f>
        <v>0</v>
      </c>
      <c r="AO4" s="203"/>
      <c r="AP4" s="203">
        <f>ajustes!Q2</f>
        <v>0</v>
      </c>
      <c r="AQ4" s="203"/>
      <c r="AR4" s="203">
        <f>ajustes!R2</f>
        <v>0</v>
      </c>
      <c r="AS4" s="203"/>
      <c r="AT4" s="203">
        <f>SUM(AF4,AH4,AJ4,AL4,AN4,AP4,AR4)</f>
        <v>0</v>
      </c>
      <c r="AU4" s="203"/>
      <c r="AX4" s="26"/>
      <c r="AY4" s="2" t="s">
        <v>92</v>
      </c>
      <c r="AZ4" s="30"/>
      <c r="BA4" s="2" t="s">
        <v>93</v>
      </c>
      <c r="BB4" s="30"/>
      <c r="BC4" s="2" t="s">
        <v>72</v>
      </c>
      <c r="BD4" s="30"/>
      <c r="BE4" s="30"/>
      <c r="BG4" s="26"/>
      <c r="BH4" s="2" t="s">
        <v>94</v>
      </c>
      <c r="BI4" s="30"/>
      <c r="BJ4" s="2" t="s">
        <v>95</v>
      </c>
      <c r="BK4" s="30"/>
      <c r="BL4" s="2" t="s">
        <v>96</v>
      </c>
      <c r="BM4" s="30"/>
      <c r="BN4" s="2" t="s">
        <v>97</v>
      </c>
      <c r="BO4" s="30"/>
      <c r="BP4" s="2" t="s">
        <v>72</v>
      </c>
      <c r="BQ4" s="30"/>
      <c r="BU4" s="26"/>
      <c r="BV4" s="2" t="s">
        <v>98</v>
      </c>
      <c r="BW4" s="30"/>
      <c r="BX4" s="2" t="s">
        <v>99</v>
      </c>
      <c r="BY4" s="30"/>
      <c r="BZ4" s="2" t="s">
        <v>100</v>
      </c>
      <c r="CA4" s="30"/>
      <c r="CB4" s="2" t="s">
        <v>101</v>
      </c>
      <c r="CC4" s="30"/>
      <c r="CD4" s="2" t="s">
        <v>102</v>
      </c>
      <c r="CE4" s="30"/>
      <c r="CF4" s="2" t="s">
        <v>72</v>
      </c>
      <c r="CG4" s="30"/>
    </row>
    <row r="5" spans="1:85">
      <c r="B5" s="7" t="s">
        <v>26</v>
      </c>
      <c r="C5" s="194">
        <f>(BDER!$C158+BDER!C169)/1000 + ajustes!B3</f>
        <v>0</v>
      </c>
      <c r="D5" s="219" t="str">
        <f>IF(C$5=0,"N.D.",C5/C$5)</f>
        <v>N.D.</v>
      </c>
      <c r="E5" s="8">
        <f>BDER!$C136/1000+ajustes!C3</f>
        <v>0</v>
      </c>
      <c r="F5" s="219" t="str">
        <f>IF(E$5=0,"N.D.",C5/E$5)</f>
        <v>N.D.</v>
      </c>
      <c r="G5" s="195">
        <f>BDER!$C202/1000+ajustes!D3</f>
        <v>0</v>
      </c>
      <c r="H5" s="219" t="str">
        <f>IF(G$5=0,"N.D.",G5/G$5)</f>
        <v>N.D.</v>
      </c>
      <c r="I5" s="8">
        <f>BDER!$C180/1000+ajustes!E3</f>
        <v>0</v>
      </c>
      <c r="J5" s="219" t="str">
        <f>IF(I$5=0,"N.D.",I5/I$5)</f>
        <v>N.D.</v>
      </c>
      <c r="K5" s="204">
        <f>SUM(C5,E5,G5,I5)</f>
        <v>0</v>
      </c>
      <c r="L5" s="219" t="str">
        <f>IF(K$5=0,"N.D.",I5/K$5)</f>
        <v>N.D.</v>
      </c>
      <c r="N5" s="7" t="s">
        <v>26</v>
      </c>
      <c r="O5" s="194">
        <f>BDER!$C$4/1000+ajustes!F3</f>
        <v>29520.11526</v>
      </c>
      <c r="P5" s="220">
        <f>IF(O$5=0,"N.D.",O5/O$5)</f>
        <v>1</v>
      </c>
      <c r="Q5" s="8">
        <f>BDER!$C$26/1000+ajustes!G3</f>
        <v>6265.66632</v>
      </c>
      <c r="R5" s="220">
        <f>IF(Q$5=0,"N.D.",O5/Q$5)</f>
        <v>4.7114087716053</v>
      </c>
      <c r="S5" s="195">
        <f>BDER!$C$48/1000+ajustes!H3</f>
        <v>27870.03077</v>
      </c>
      <c r="T5" s="220">
        <f>IF(S$5=0,"N.D.",S5/S$5)</f>
        <v>1</v>
      </c>
      <c r="U5" s="8">
        <f>BDER!$C$70/1000+ajustes!I3</f>
        <v>3454.25534</v>
      </c>
      <c r="V5" s="220">
        <f>IF(U$5=0,"N.D.",S5/U$5)</f>
        <v>8.0683180676504</v>
      </c>
      <c r="W5" s="195">
        <f>BDER!$C$92/1000+ajustes!J3</f>
        <v>325.8696</v>
      </c>
      <c r="X5" s="220">
        <f>IF(W$5=0,"N.D.",W5/W$5)</f>
        <v>1</v>
      </c>
      <c r="Y5" s="194">
        <f>BDER!$C$114/1000+ajustes!K3</f>
        <v>264.06</v>
      </c>
      <c r="Z5" s="220">
        <f>IF(Y$5=0,"N.D.",W5/Y$5)</f>
        <v>1.2340740740741</v>
      </c>
      <c r="AA5" s="8">
        <f>SUM(O5,Q5,S5,U5,W5,Y5)-AC5</f>
        <v>53292.74775</v>
      </c>
      <c r="AB5" s="220">
        <f>IF(AA$5=0,"N.D.",AA5/AA$5)</f>
        <v>1</v>
      </c>
      <c r="AC5" s="276">
        <f>(ELIM!C2+ELIM!C4+ELIM!C6+ELIM!C8+ELIM!C10)/1000</f>
        <v>14407.24954</v>
      </c>
      <c r="AE5" s="7" t="s">
        <v>26</v>
      </c>
      <c r="AF5" s="11">
        <f>BDER!$C288/1000+ajustes!L3+ajustes!L15</f>
        <v>52571.55324</v>
      </c>
      <c r="AG5" s="219">
        <f>IF(AF$5=0,"N.D.",AF5/AF$5)</f>
        <v>1</v>
      </c>
      <c r="AH5" s="11">
        <f>BDER!$C310/1000+ajustes!M3+ajustes!M15</f>
        <v>34577.60105</v>
      </c>
      <c r="AI5" s="219">
        <f>IF(AH$5=0,"N.D.",AH5/AH$5)</f>
        <v>1</v>
      </c>
      <c r="AJ5" s="11">
        <f>BDER!$C354/1000+ajustes!N3+ajustes!N15</f>
        <v>7055.53217</v>
      </c>
      <c r="AK5" s="219">
        <f>IF(AJ$5=0,"N.D.",AJ5/AJ$5)</f>
        <v>1</v>
      </c>
      <c r="AL5" s="11">
        <f>BDER!$C332/2000+ajustes!O3+ajustes!O15</f>
        <v>9354.988675</v>
      </c>
      <c r="AM5" s="219">
        <f>IF(AL$5=0,"N.D.",AL5/AL$5)</f>
        <v>1</v>
      </c>
      <c r="AN5" s="11">
        <f>ajustes!P3</f>
        <v>0</v>
      </c>
      <c r="AO5" s="219" t="str">
        <f>IF(AN$5=0,"N.D.",AN5/AN$5)</f>
        <v>N.D.</v>
      </c>
      <c r="AP5" s="11">
        <f>BDER!$C400/1000+ajustes!Q3+ajustes!Q15</f>
        <v>5092.05201</v>
      </c>
      <c r="AQ5" s="219">
        <f>IF(AP$5=0,"N.D.",AP5/AP$5)</f>
        <v>1</v>
      </c>
      <c r="AR5" s="11">
        <f>BDER!$C376/1000+ajustes!R3</f>
        <v>63863.55677</v>
      </c>
      <c r="AS5" s="219">
        <f>IF(AR$5=0,"N.D.",AR5/AR$5)</f>
        <v>1</v>
      </c>
      <c r="AT5" s="11">
        <f>SUM(AF5,AH5,AJ5,AL5,AN5,AP5,AR5)</f>
        <v>172515.283915</v>
      </c>
      <c r="AU5" s="219">
        <f>IF(AT$5=0,"N.D.",AT5/AT$5)</f>
        <v>1</v>
      </c>
      <c r="AX5" s="7" t="s">
        <v>26</v>
      </c>
      <c r="AY5" s="8">
        <f>BDER!$C444/1000+ajustes!S3</f>
        <v>6260.7734</v>
      </c>
      <c r="AZ5" s="220">
        <f>IF(AY$5=0,"N.D.",AY5/AY$5)</f>
        <v>1</v>
      </c>
      <c r="BA5" s="195">
        <f>BDER!$C422/1000+ajustes!T3</f>
        <v>1146.13636</v>
      </c>
      <c r="BB5" s="220">
        <f>IF(BA$5=0,"N.D.",BA5/BA$5)</f>
        <v>1</v>
      </c>
      <c r="BC5" s="8">
        <f>SUM(AY5,BA5)</f>
        <v>7406.90976</v>
      </c>
      <c r="BD5" s="220">
        <f>IF(BC$5=0,"N.D.",BC5/BC$5)</f>
        <v>1</v>
      </c>
      <c r="BE5" s="187"/>
      <c r="BG5" s="7" t="s">
        <v>103</v>
      </c>
      <c r="BH5" s="194">
        <f>BDER!$C466/1000+ajustes!V3</f>
        <v>310.46298</v>
      </c>
      <c r="BI5" s="220">
        <f>IF(BH$5=0,"N.D.",BH5/BH$5)</f>
        <v>1</v>
      </c>
      <c r="BJ5" s="8">
        <f>BDER!$C489/1000+ajustes!W3</f>
        <v>605.32353</v>
      </c>
      <c r="BK5" s="220">
        <f>IF(BJ$5=0,"N.D.",BJ5/BJ$5)</f>
        <v>1</v>
      </c>
      <c r="BL5" s="195">
        <f>BDER!$C556/1000+ajustes!X3</f>
        <v>274.95384</v>
      </c>
      <c r="BM5" s="220">
        <f>IF(BL$5=0,"N.D.",BL5/BL$5)</f>
        <v>1</v>
      </c>
      <c r="BN5" s="8">
        <f>BDER!$C601/1000+ajustes!Y3</f>
        <v>385.38668</v>
      </c>
      <c r="BO5" s="220">
        <f>IF(BN$5=0,"N.D.",BN5/BN$5)</f>
        <v>1</v>
      </c>
      <c r="BP5" s="204">
        <f>SUM(BH5,BJ5,BL5,BN5)</f>
        <v>1576.12703</v>
      </c>
      <c r="BQ5" s="220">
        <f>IF(BP$5=0,"N.D.",BP5/BP$5)</f>
        <v>1</v>
      </c>
      <c r="BU5" s="7" t="s">
        <v>103</v>
      </c>
      <c r="BV5" s="194">
        <f>BDER!$C512/1000+ajustes!Z3</f>
        <v>44.33289</v>
      </c>
      <c r="BW5" s="220">
        <f>IF(BV$5=0,"N.D.",BV5/BV$5)</f>
        <v>1</v>
      </c>
      <c r="BX5" s="8">
        <f>BDER!$C579/1000+ajustes!AA3</f>
        <v>29.85459</v>
      </c>
      <c r="BY5" s="220">
        <f>IF(BX$5=0,"N.D.",BV5/BX$5)</f>
        <v>1.4849606040478</v>
      </c>
      <c r="BZ5" s="195">
        <f>BDER!$C624/1000+ajustes!AB3</f>
        <v>19.98428</v>
      </c>
      <c r="CA5" s="220">
        <f>IF(BZ$5=0,"N.D.",BZ5/BZ$5)</f>
        <v>1</v>
      </c>
      <c r="CB5" s="8">
        <f>BDER!$C534/1000+ajustes!AC3</f>
        <v>3.743</v>
      </c>
      <c r="CC5" s="220">
        <f>IF(CB$5=0,"N.D.",BZ5/CB$5)</f>
        <v>5.3391076676463</v>
      </c>
      <c r="CD5" s="204">
        <f>BDER!$C646/1000+ajustes!AD3</f>
        <v>5.183</v>
      </c>
      <c r="CE5" s="220">
        <f>IF(CD$5=0,"N.D.",CD5/CD$5)</f>
        <v>1</v>
      </c>
      <c r="CF5" s="204">
        <f>SUM(BV5,BX5,BZ5,CB5,CD5)</f>
        <v>103.09776</v>
      </c>
      <c r="CG5" s="220">
        <f>IF(CF$5=0,"N.D.",CD5/CF$5)</f>
        <v>0.050272673237517</v>
      </c>
    </row>
    <row r="6" spans="1:85">
      <c r="B6" s="7" t="s">
        <v>27</v>
      </c>
      <c r="C6" s="196">
        <f>BDER!$C159/1000 +ajustes!B4</f>
        <v>0</v>
      </c>
      <c r="D6" s="219" t="str">
        <f>IF(C$5=0,"N.D.",C6/C$5)</f>
        <v>N.D.</v>
      </c>
      <c r="E6" s="34">
        <f>BDER!$C137/1000+ajustes!C4</f>
        <v>0</v>
      </c>
      <c r="F6" s="219" t="str">
        <f>IF(E$5=0,"N.D.",C5/E$5)</f>
        <v>N.D.</v>
      </c>
      <c r="G6" s="197">
        <f>BDER!$C203/1000+ajustes!D4</f>
        <v>0</v>
      </c>
      <c r="H6" s="219" t="str">
        <f>IF(G$5=0,"N.D.",G6/G$5)</f>
        <v>N.D.</v>
      </c>
      <c r="I6" s="34">
        <f>BDER!$C181/1000+ajustes!E4</f>
        <v>0</v>
      </c>
      <c r="J6" s="219" t="str">
        <f>IF(I$5=0,"N.D.",I6/I$5)</f>
        <v>N.D.</v>
      </c>
      <c r="K6" s="207">
        <f>SUM(C6,E6,G6,I6)</f>
        <v>0</v>
      </c>
      <c r="L6" s="219" t="str">
        <f>IF(K$5=0,"N.D.",K6/K$5)</f>
        <v>N.D.</v>
      </c>
      <c r="N6" s="7" t="s">
        <v>27</v>
      </c>
      <c r="O6" s="196">
        <f>BDER!$C$5/1000+ajustes!F4</f>
        <v>10010.61952</v>
      </c>
      <c r="P6" s="219">
        <f>IF(O$5=0,"N.D.",O6/O$5)</f>
        <v>0.33911180331889</v>
      </c>
      <c r="Q6" s="34">
        <f>BDER!$C$27/1000+ajustes!G4</f>
        <v>3392.02875</v>
      </c>
      <c r="R6" s="219">
        <f>IF(Q$5=0,"N.D.",Q6/Q$5)</f>
        <v>0.54136760190575</v>
      </c>
      <c r="S6" s="197">
        <f>BDER!$C$49/1000+ajustes!H4</f>
        <v>22942.53861</v>
      </c>
      <c r="T6" s="219">
        <f>IF(S$5=0,"N.D.",S6/S$5)</f>
        <v>0.82319746251217</v>
      </c>
      <c r="U6" s="34">
        <f>BDER!$C$71/1000+ajustes!I4</f>
        <v>0</v>
      </c>
      <c r="V6" s="219">
        <f>IF(U$5=0,"N.D.",U6/U$5)</f>
        <v>0</v>
      </c>
      <c r="W6" s="197">
        <f>BDER!$C$93/1000+ajustes!J4</f>
        <v>210.03906</v>
      </c>
      <c r="X6" s="219">
        <f>IF(W$5=0,"N.D.",W6/W$5)</f>
        <v>0.64454941485797</v>
      </c>
      <c r="Y6" s="196">
        <f>BDER!$C$115/1000+ajustes!K4</f>
        <v>0</v>
      </c>
      <c r="Z6" s="219">
        <f>IF(Y$5=0,"N.D.",Y6/Y$5)</f>
        <v>0</v>
      </c>
      <c r="AA6" s="34">
        <f>SUM(O6,Q6,S6,U6,W6,Y6)-AC6</f>
        <v>27361.20147</v>
      </c>
      <c r="AB6" s="219">
        <f>IF(AA$5=0,"N.D.",AA6/AA$5)</f>
        <v>0.51341322459771</v>
      </c>
      <c r="AC6" s="276">
        <f>ELIM!$C$4/1000</f>
        <v>9194.02447</v>
      </c>
      <c r="AE6" s="7" t="s">
        <v>27</v>
      </c>
      <c r="AF6" s="34">
        <f>BDER!$C291/1000+ajustes!L4</f>
        <v>43447.64004</v>
      </c>
      <c r="AG6" s="219">
        <f>IF(AF$5=0,"N.D.",AF6/AF$5)</f>
        <v>0.82644771482502</v>
      </c>
      <c r="AH6" s="34">
        <f>BDER!$C313/1000+ajustes!M4</f>
        <v>21350.56033</v>
      </c>
      <c r="AI6" s="219">
        <f>IF(AH$5=0,"N.D.",AH6/AH$5)</f>
        <v>0.61746794692687</v>
      </c>
      <c r="AJ6" s="34">
        <f>BDER!$C357/1000+ajustes!N4</f>
        <v>4203.54971</v>
      </c>
      <c r="AK6" s="219">
        <f>IF(AJ$5=0,"N.D.",AJ6/AJ$5)</f>
        <v>0.59578067376312</v>
      </c>
      <c r="AL6" s="34">
        <f>BDER!$C335/2000+ajustes!O4</f>
        <v>5243.8105</v>
      </c>
      <c r="AM6" s="219">
        <f>IF(AL$5=0,"N.D.",AL6/AL$5)</f>
        <v>0.56053627451345</v>
      </c>
      <c r="AN6" s="34">
        <f>ajustes!P4</f>
        <v>0</v>
      </c>
      <c r="AO6" s="219" t="str">
        <f>IF(AN$5=0,"N.D.",AN6/AN$5)</f>
        <v>N.D.</v>
      </c>
      <c r="AP6" s="34">
        <f>BDER!$C401/1000+ajustes!Q4</f>
        <v>3185.31467</v>
      </c>
      <c r="AQ6" s="219">
        <f>IF(AP$5=0,"N.D.",AP6/AP$5)</f>
        <v>0.6255463737889</v>
      </c>
      <c r="AR6" s="34">
        <f>BDER!$C379/1000+ajustes!R4</f>
        <v>54520.26597</v>
      </c>
      <c r="AS6" s="219">
        <f>IF(AR$5=0,"N.D.",AR6/AR$5)</f>
        <v>0.85369917880319</v>
      </c>
      <c r="AT6" s="34">
        <f>SUM(AF6,AH6,AJ6,AL6,AN6,AP6,AR6)</f>
        <v>131951.14122</v>
      </c>
      <c r="AU6" s="219">
        <f>IF(AT$5=0,"N.D.",AT6/AT$5)</f>
        <v>0.76486638299835</v>
      </c>
      <c r="AX6" s="7" t="s">
        <v>27</v>
      </c>
      <c r="AY6" s="34">
        <f>BDER!$C445/1000+ajustes!S4</f>
        <v>3000.36926</v>
      </c>
      <c r="AZ6" s="219">
        <f>IF(AY$5=0,"N.D.",AY6/AY$5)</f>
        <v>0.47923300658031</v>
      </c>
      <c r="BA6" s="197">
        <f>BDER!$C423/1000+ajustes!T4</f>
        <v>875.76267</v>
      </c>
      <c r="BB6" s="219">
        <f>IF(BA$5=0,"N.D.",BA6/BA$5)</f>
        <v>0.76409989296562</v>
      </c>
      <c r="BC6" s="34">
        <f>SUM(AY6,BA6)</f>
        <v>3876.13193</v>
      </c>
      <c r="BD6" s="219">
        <f>IF(BC$5=0,"N.D.",BC6/BC$5)</f>
        <v>0.52331296797114</v>
      </c>
      <c r="BE6" s="187"/>
      <c r="BG6" s="7" t="s">
        <v>104</v>
      </c>
      <c r="BH6" s="196">
        <f>BDER!$C467/1000+ajustes!V4</f>
        <v>100.60966</v>
      </c>
      <c r="BI6" s="219">
        <f>IF(BH$5=0,"N.D.",BH6/BH$5)</f>
        <v>0.3240633070004</v>
      </c>
      <c r="BJ6" s="34">
        <f>BDER!$C490/1000+ajustes!W4</f>
        <v>174.99967</v>
      </c>
      <c r="BK6" s="219">
        <f>IF(BJ$5=0,"N.D.",BJ6/BJ$5)</f>
        <v>0.28910105311783</v>
      </c>
      <c r="BL6" s="197">
        <f>BDER!$C557/1000+ajustes!X4</f>
        <v>80.62646</v>
      </c>
      <c r="BM6" s="219">
        <f>IF(BL$5=0,"N.D.",BL6/BL$5)</f>
        <v>0.29323634832669</v>
      </c>
      <c r="BN6" s="34">
        <f>BDER!$C602/1000+ajustes!Y4</f>
        <v>116.85126</v>
      </c>
      <c r="BO6" s="219">
        <f>IF(BN$5=0,"N.D.",BN6/BN$5)</f>
        <v>0.30320523791845</v>
      </c>
      <c r="BP6" s="207">
        <f>SUM(BH6,BJ6,BL6,BN6)</f>
        <v>473.08705</v>
      </c>
      <c r="BQ6" s="219">
        <f>IF(BP$5=0,"N.D.",BP6/BP$5)</f>
        <v>0.30015794475652</v>
      </c>
      <c r="BU6" s="7" t="s">
        <v>104</v>
      </c>
      <c r="BV6" s="196">
        <f>BDER!$C513/1000+ajustes!Z4</f>
        <v>0</v>
      </c>
      <c r="BW6" s="219">
        <f>IF(BV$5=0,"N.D.",BV6/BV$5)</f>
        <v>0</v>
      </c>
      <c r="BX6" s="34">
        <f>BDER!$C580/1000+ajustes!AA4</f>
        <v>0</v>
      </c>
      <c r="BY6" s="219">
        <f>IF(BX$5=0,"N.D.",BX6/BX$5)</f>
        <v>0</v>
      </c>
      <c r="BZ6" s="197">
        <f>BDER!$C625/1000+ajustes!AB4</f>
        <v>0</v>
      </c>
      <c r="CA6" s="219">
        <f>IF(BZ$5=0,"N.D.",BZ6/BZ$5)</f>
        <v>0</v>
      </c>
      <c r="CB6" s="34">
        <f>BDER!$C535/1000+ajustes!AC4</f>
        <v>0</v>
      </c>
      <c r="CC6" s="219">
        <f>IF(CB$5=0,"N.D.",CB6/CB$5)</f>
        <v>0</v>
      </c>
      <c r="CD6" s="207">
        <f>BDER!$C647/1000+ajustes!AD4</f>
        <v>0</v>
      </c>
      <c r="CE6" s="219">
        <f>IF(CD$5=0,"N.D.",CD6/CD$5)</f>
        <v>0</v>
      </c>
      <c r="CF6" s="207">
        <f>SUM(BV6,BX6,BZ6,CB6,CD6)</f>
        <v>0</v>
      </c>
      <c r="CG6" s="219">
        <f>IF(CF$5=0,"N.D.",CF6/CF$5)</f>
        <v>0</v>
      </c>
    </row>
    <row r="7" spans="1:85">
      <c r="B7" s="4" t="s">
        <v>28</v>
      </c>
      <c r="C7" s="191">
        <f>C5-C6</f>
        <v>0</v>
      </c>
      <c r="D7" s="22" t="str">
        <f>IF(C$5=0,"N.D.",C7/C$5)</f>
        <v>N.D.</v>
      </c>
      <c r="E7" s="211">
        <f>E5-E6</f>
        <v>0</v>
      </c>
      <c r="F7" s="22" t="str">
        <f>IF(E$5=0,"N.D.",C5/E$5)</f>
        <v>N.D.</v>
      </c>
      <c r="G7" s="20">
        <f>G5-G6</f>
        <v>0</v>
      </c>
      <c r="H7" s="22" t="str">
        <f>IF(G$5=0,"N.D.",G7/G$5)</f>
        <v>N.D.</v>
      </c>
      <c r="I7" s="211">
        <f>I5-I6</f>
        <v>0</v>
      </c>
      <c r="J7" s="22" t="str">
        <f>IF(I$5=0,"N.D.",I7/I$5)</f>
        <v>N.D.</v>
      </c>
      <c r="K7" s="20">
        <f>K5-K6</f>
        <v>0</v>
      </c>
      <c r="L7" s="22" t="str">
        <f>IF(K$5=0,"N.D.",K7/K$5)</f>
        <v>N.D.</v>
      </c>
      <c r="N7" s="4" t="s">
        <v>28</v>
      </c>
      <c r="O7" s="216">
        <f>O5-O6</f>
        <v>19509.49574</v>
      </c>
      <c r="P7" s="22">
        <f>IF(O$5=0,"N.D.",O7/O$5)</f>
        <v>0.66088819668111</v>
      </c>
      <c r="Q7" s="208">
        <f>Q5-Q6</f>
        <v>2873.63757</v>
      </c>
      <c r="R7" s="22">
        <f>IF(Q$5=0,"N.D.",Q7/Q$5)</f>
        <v>0.45863239809425</v>
      </c>
      <c r="S7" s="202">
        <f>S5-S6</f>
        <v>4927.49216</v>
      </c>
      <c r="T7" s="22">
        <f>IF(S$5=0,"N.D.",S7/S$5)</f>
        <v>0.17680253748783</v>
      </c>
      <c r="U7" s="208">
        <f>U5-U6</f>
        <v>3454.25534</v>
      </c>
      <c r="V7" s="22">
        <f>IF(U$5=0,"N.D.",U7/U$5)</f>
        <v>1</v>
      </c>
      <c r="W7" s="202">
        <f>W5-W6</f>
        <v>115.83054</v>
      </c>
      <c r="X7" s="22">
        <f>IF(W$5=0,"N.D.",W7/W$5)</f>
        <v>0.35545058514203</v>
      </c>
      <c r="Y7" s="208">
        <f>Y5-Y6</f>
        <v>264.06</v>
      </c>
      <c r="Z7" s="22">
        <f>IF(Y$5=0,"N.D.",Y7/Y$5)</f>
        <v>1</v>
      </c>
      <c r="AA7" s="213">
        <f>AA5-AA6</f>
        <v>25931.54628</v>
      </c>
      <c r="AB7" s="22">
        <f>IF(AA$5=0,"N.D.",AA7/AA$5)</f>
        <v>0.48658677540229</v>
      </c>
      <c r="AC7" s="276"/>
      <c r="AE7" s="4" t="s">
        <v>28</v>
      </c>
      <c r="AF7" s="20">
        <f>AF5-AF6</f>
        <v>9123.9132</v>
      </c>
      <c r="AG7" s="22">
        <f>IF(AF$5=0,"N.D.",AF7/AF$5)</f>
        <v>0.17355228517498</v>
      </c>
      <c r="AH7" s="20">
        <f>AH5-AH6</f>
        <v>13227.04072</v>
      </c>
      <c r="AI7" s="22">
        <f>IF(AH$5=0,"N.D.",AH7/AH$5)</f>
        <v>0.38253205307313</v>
      </c>
      <c r="AJ7" s="20">
        <f>AJ5-AJ6</f>
        <v>2851.98246</v>
      </c>
      <c r="AK7" s="22">
        <f>IF(AJ$5=0,"N.D.",AJ7/AJ$5)</f>
        <v>0.40421932623688</v>
      </c>
      <c r="AL7" s="20">
        <f>AL5-AL6</f>
        <v>4111.178175</v>
      </c>
      <c r="AM7" s="22">
        <f>IF(AL$5=0,"N.D.",AL7/AL$5)</f>
        <v>0.43946372548655</v>
      </c>
      <c r="AN7" s="20">
        <f>AN5-AN6</f>
        <v>0</v>
      </c>
      <c r="AO7" s="22" t="str">
        <f>IF(AN$5=0,"N.D.",AN7/AN$5)</f>
        <v>N.D.</v>
      </c>
      <c r="AP7" s="20">
        <f>AP5-AP6</f>
        <v>1906.73734</v>
      </c>
      <c r="AQ7" s="22">
        <f>IF(AP$5=0,"N.D.",AP7/AP$5)</f>
        <v>0.3744536262111</v>
      </c>
      <c r="AR7" s="20">
        <f>AR5-AR6</f>
        <v>9343.2908</v>
      </c>
      <c r="AS7" s="22">
        <f>IF(AR$5=0,"N.D.",AR7/AR$5)</f>
        <v>0.14630082119681</v>
      </c>
      <c r="AT7" s="20">
        <f>AT5-AT6</f>
        <v>40564.142695</v>
      </c>
      <c r="AU7" s="22">
        <f>IF(AT$5=0,"N.D.",AT7/AT$5)</f>
        <v>0.23513361700165</v>
      </c>
      <c r="AX7" s="4" t="s">
        <v>28</v>
      </c>
      <c r="AY7" s="20">
        <f>AY5-AY6</f>
        <v>3260.40414</v>
      </c>
      <c r="AZ7" s="22">
        <f>IF(AY$5=0,"N.D.",AY7/AY$5)</f>
        <v>0.52076699341969</v>
      </c>
      <c r="BA7" s="20">
        <f>BA5-BA6</f>
        <v>270.37369</v>
      </c>
      <c r="BB7" s="22">
        <f>IF(BA$5=0,"N.D.",BA7/BA$5)</f>
        <v>0.23590010703438</v>
      </c>
      <c r="BC7" s="20">
        <f>BC5-BC6</f>
        <v>3530.77783</v>
      </c>
      <c r="BD7" s="22">
        <f>IF(BC$5=0,"N.D.",BC7/BC$5)</f>
        <v>0.47668703202886</v>
      </c>
      <c r="BE7" s="221"/>
      <c r="BG7" s="4" t="s">
        <v>105</v>
      </c>
      <c r="BH7" s="20">
        <f>BH5-BH6</f>
        <v>209.85332</v>
      </c>
      <c r="BI7" s="22">
        <f>IF(BH$5=0,"N.D.",BH7/BH$5)</f>
        <v>0.6759366929996</v>
      </c>
      <c r="BJ7" s="20">
        <f>BJ5-BJ6</f>
        <v>430.32386</v>
      </c>
      <c r="BK7" s="22">
        <f>IF(BJ$5=0,"N.D.",BJ7/BJ$5)</f>
        <v>0.71089894688217</v>
      </c>
      <c r="BL7" s="20">
        <f>BL5-BL6</f>
        <v>194.32738</v>
      </c>
      <c r="BM7" s="22">
        <f>IF(BL$5=0,"N.D.",BL7/BL$5)</f>
        <v>0.70676365167331</v>
      </c>
      <c r="BN7" s="20">
        <f>BN5-BN6</f>
        <v>268.53542</v>
      </c>
      <c r="BO7" s="22">
        <f>IF(BN$5=0,"N.D.",BN7/BN$5)</f>
        <v>0.69679476208155</v>
      </c>
      <c r="BP7" s="14">
        <f>BP5-BP6</f>
        <v>1103.03998</v>
      </c>
      <c r="BQ7" s="22">
        <f>IF(BP$5=0,"N.D.",BP7/BP$5)</f>
        <v>0.69984205524348</v>
      </c>
      <c r="BU7" s="4" t="s">
        <v>105</v>
      </c>
      <c r="BV7" s="20">
        <f>BV5-BV6</f>
        <v>44.33289</v>
      </c>
      <c r="BW7" s="22">
        <f>IF(BV$5=0,"N.D.",BV7/BV$5)</f>
        <v>1</v>
      </c>
      <c r="BX7" s="20">
        <f>BX5-BX6</f>
        <v>29.85459</v>
      </c>
      <c r="BY7" s="22">
        <f>IF(BX$5=0,"N.D.",BX7/BX$5)</f>
        <v>1</v>
      </c>
      <c r="BZ7" s="20">
        <f>BZ5-BZ6</f>
        <v>19.98428</v>
      </c>
      <c r="CA7" s="22">
        <f>IF(BZ$5=0,"N.D.",BZ7/BZ$5)</f>
        <v>1</v>
      </c>
      <c r="CB7" s="20">
        <f>CB5-CB6</f>
        <v>3.743</v>
      </c>
      <c r="CC7" s="22">
        <f>IF(CB$5=0,"N.D.",CB7/CB$5)</f>
        <v>1</v>
      </c>
      <c r="CD7" s="20">
        <f>CD5-CD6</f>
        <v>5.183</v>
      </c>
      <c r="CE7" s="22">
        <f>IF(CD$5=0,"N.D.",CD7/CD$5)</f>
        <v>1</v>
      </c>
      <c r="CF7" s="20">
        <f>CF5-CF6</f>
        <v>103.09776</v>
      </c>
      <c r="CG7" s="22">
        <f>IF(CF$5=0,"N.D.",CF7/CF$5)</f>
        <v>1</v>
      </c>
    </row>
    <row r="8" spans="1:85">
      <c r="B8" s="1"/>
      <c r="C8" s="30"/>
      <c r="D8" s="30"/>
      <c r="E8" s="30"/>
      <c r="F8" s="30"/>
      <c r="G8" s="30"/>
      <c r="H8" s="30"/>
      <c r="I8" s="30"/>
      <c r="J8" s="30"/>
      <c r="K8" s="30"/>
      <c r="L8" s="30"/>
      <c r="N8" s="1"/>
      <c r="O8" s="217"/>
      <c r="P8" s="30"/>
      <c r="Q8" s="217"/>
      <c r="R8" s="30"/>
      <c r="S8" s="217"/>
      <c r="T8" s="30"/>
      <c r="U8" s="217"/>
      <c r="V8" s="30"/>
      <c r="W8" s="217"/>
      <c r="X8" s="30"/>
      <c r="Y8" s="217"/>
      <c r="Z8" s="30"/>
      <c r="AA8" s="217"/>
      <c r="AB8" s="30"/>
      <c r="AC8" s="276"/>
      <c r="AE8" s="1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X8" s="1"/>
      <c r="AY8" s="30"/>
      <c r="AZ8" s="30"/>
      <c r="BA8" s="30"/>
      <c r="BB8" s="30"/>
      <c r="BC8" s="30"/>
      <c r="BD8" s="30"/>
      <c r="BE8" s="30"/>
      <c r="BG8" s="1"/>
      <c r="BH8" s="30"/>
      <c r="BI8" s="30"/>
      <c r="BJ8" s="30"/>
      <c r="BK8" s="30"/>
      <c r="BL8" s="30"/>
      <c r="BM8" s="30"/>
      <c r="BN8" s="30"/>
      <c r="BO8" s="30"/>
      <c r="BP8" s="30"/>
      <c r="BQ8" s="30"/>
      <c r="BU8" s="1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</row>
    <row r="9" spans="1:85">
      <c r="B9" s="7" t="s">
        <v>29</v>
      </c>
      <c r="C9" s="194">
        <f>BDER!$C161/1000+ajustes!B5</f>
        <v>0</v>
      </c>
      <c r="D9" s="220" t="str">
        <f>IF(C$5=0,"N.D.",C9/C$5)</f>
        <v>N.D.</v>
      </c>
      <c r="E9" s="8">
        <f>BDER!$C139/1000+ajustes!C5</f>
        <v>0.675</v>
      </c>
      <c r="F9" s="220" t="str">
        <f>IF(E$5=0,"N.D.",E9/E$5)</f>
        <v>N.D.</v>
      </c>
      <c r="G9" s="195">
        <f>BDER!$C205/1000+ajustes!D5</f>
        <v>0</v>
      </c>
      <c r="H9" s="220" t="str">
        <f>IF(G$5=0,"N.D.",G9/G$5)</f>
        <v>N.D.</v>
      </c>
      <c r="I9" s="8">
        <f>BDER!$C183/1000+ajustes!E5</f>
        <v>0</v>
      </c>
      <c r="J9" s="220" t="str">
        <f>IF(I$5=0,"N.D.",I9/I$5)</f>
        <v>N.D.</v>
      </c>
      <c r="K9" s="204">
        <f>SUM(C9,E9,G9,I9)</f>
        <v>0.675</v>
      </c>
      <c r="L9" s="220" t="str">
        <f>IF(K$5=0,"N.D.",K9/K$5)</f>
        <v>N.D.</v>
      </c>
      <c r="N9" s="7" t="s">
        <v>29</v>
      </c>
      <c r="O9" s="198">
        <f>BDER!$C7/1000+ajustes!F5</f>
        <v>11909.22109</v>
      </c>
      <c r="P9" s="220">
        <f>IF(O$5=0,"N.D.",O9/O$5)</f>
        <v>0.40342732354223</v>
      </c>
      <c r="Q9" s="11">
        <f>BDER!$C29/1000+ajustes!G5</f>
        <v>0</v>
      </c>
      <c r="R9" s="220">
        <f>IF(Q$5=0,"N.D.",Q9/Q$5)</f>
        <v>0</v>
      </c>
      <c r="S9" s="30">
        <f>BDER!$C51/1000+ajustes!H5</f>
        <v>2705.38264</v>
      </c>
      <c r="T9" s="220">
        <f>IF(S$5=0,"N.D.",S9/S$5)</f>
        <v>0.097071390495634</v>
      </c>
      <c r="U9" s="11">
        <f>BDER!$C73/1000+ajustes!I5</f>
        <v>0</v>
      </c>
      <c r="V9" s="220">
        <f>IF(U$5=0,"N.D.",U9/U$5)</f>
        <v>0</v>
      </c>
      <c r="W9" s="30">
        <f>BDER!$C95/1000+ajustes!J5</f>
        <v>0</v>
      </c>
      <c r="X9" s="220">
        <f>IF(W$5=0,"N.D.",W9/W$5)</f>
        <v>0</v>
      </c>
      <c r="Y9" s="11">
        <f>BDER!$C117/1000+ajustes!K5</f>
        <v>0</v>
      </c>
      <c r="Z9" s="220">
        <f>IF(Y$5=0,"N.D.",Y9/Y$5)</f>
        <v>0</v>
      </c>
      <c r="AA9" s="206">
        <f>SUM(O9,Q9,S9,U9,W9,Y9)-AC9</f>
        <v>12855.634</v>
      </c>
      <c r="AB9" s="220">
        <f>IF(AA$5=0,"N.D.",AA9/AA$5)</f>
        <v>0.24122670612344</v>
      </c>
      <c r="AC9" s="276">
        <f>(ELIM!C2+ELIM!C8+ELIM!C10)/1000</f>
        <v>1758.96973</v>
      </c>
      <c r="AE9" s="7" t="s">
        <v>29</v>
      </c>
      <c r="AF9" s="8">
        <f>BDER!$C293/1000+ajustes!L5</f>
        <v>4154.78793</v>
      </c>
      <c r="AG9" s="220">
        <f>IF(AF$5=0,"N.D.",AF9/AF$5)</f>
        <v>0.079031104731347</v>
      </c>
      <c r="AH9" s="8">
        <f>BDER!$C315/1000+ajustes!M5</f>
        <v>7349.6966</v>
      </c>
      <c r="AI9" s="220">
        <f>IF(AH$5=0,"N.D.",AH9/AH$5)</f>
        <v>0.21255657931191</v>
      </c>
      <c r="AJ9" s="8">
        <f>BDER!$C359/1000+ajustes!N5</f>
        <v>3799.53977</v>
      </c>
      <c r="AK9" s="220">
        <f>IF(AJ$5=0,"N.D.",AJ9/AJ$5)</f>
        <v>0.53851923263217</v>
      </c>
      <c r="AL9" s="8">
        <f>BDER!$C337/2000+ajustes!O5</f>
        <v>1860.872665</v>
      </c>
      <c r="AM9" s="220">
        <f>IF(AL$5=0,"N.D.",AL9/AL$5)</f>
        <v>0.19891768228143</v>
      </c>
      <c r="AN9" s="8">
        <f>ajustes!P5</f>
        <v>0</v>
      </c>
      <c r="AO9" s="220" t="str">
        <f>IF(AN$5=0,"N.D.",AN9/AN$5)</f>
        <v>N.D.</v>
      </c>
      <c r="AP9" s="8">
        <f>BDER!$C403/1000+ajustes!Q5</f>
        <v>1165.66342</v>
      </c>
      <c r="AQ9" s="220">
        <f>IF(AP$5=0,"N.D.",AP9/AP$5)</f>
        <v>0.22891820776984</v>
      </c>
      <c r="AR9" s="8">
        <f>BDER!$C381/1000+ajustes!R5</f>
        <v>3001.95005</v>
      </c>
      <c r="AS9" s="220">
        <f>IF(AR$5=0,"N.D.",AR9/AR$5)</f>
        <v>0.047005682142185</v>
      </c>
      <c r="AT9" s="8">
        <f>SUM(AF9,AH9,AJ9,AL9,AN9,AP9,AR9)</f>
        <v>21332.510435</v>
      </c>
      <c r="AU9" s="220">
        <f>IF(AT$5=0,"N.D.",AT9/AT$5)</f>
        <v>0.12365577096062</v>
      </c>
      <c r="AX9" s="7" t="s">
        <v>29</v>
      </c>
      <c r="AY9" s="8">
        <f>BDER!$C447/1000+ajustes!S5</f>
        <v>48.372</v>
      </c>
      <c r="AZ9" s="220">
        <f>IF(AY$5=0,"N.D.",AY9/AY$5)</f>
        <v>0.00772620200565</v>
      </c>
      <c r="BA9" s="204">
        <f>BDER!$C425/1000+ajustes!T5</f>
        <v>0</v>
      </c>
      <c r="BB9" s="220">
        <f>IF(BA$5=0,"N.D.",BA9/BA$5)</f>
        <v>0</v>
      </c>
      <c r="BC9" s="204">
        <f>SUM(AY9,BA9)</f>
        <v>48.372</v>
      </c>
      <c r="BD9" s="220">
        <f>IF(BC$5=0,"N.D.",BC9/BC$5)</f>
        <v>0.0065306587453281</v>
      </c>
      <c r="BE9" s="187"/>
      <c r="BG9" s="7" t="s">
        <v>106</v>
      </c>
      <c r="BH9" s="194">
        <f>BDER!$C470/1000+ajustes!V5</f>
        <v>186.79788</v>
      </c>
      <c r="BI9" s="220">
        <f>IF(BH$5=0,"N.D.",BH9/BH$5)</f>
        <v>0.60167521422361</v>
      </c>
      <c r="BJ9" s="8">
        <f>BDER!$C493/1000+ajustes!W5</f>
        <v>393.12998</v>
      </c>
      <c r="BK9" s="220">
        <f>IF(BJ$5=0,"N.D.",BJ9/BJ$5)</f>
        <v>0.64945431742923</v>
      </c>
      <c r="BL9" s="195">
        <f>BDER!$C560/1000+ajustes!X5</f>
        <v>150.45585</v>
      </c>
      <c r="BM9" s="220">
        <f>IF(BL$5=0,"N.D.",BL9/BL$5)</f>
        <v>0.54720403250233</v>
      </c>
      <c r="BN9" s="8">
        <f>BDER!$C605/1000+ajustes!Y5</f>
        <v>230.56626</v>
      </c>
      <c r="BO9" s="220">
        <f>IF(BN$5=0,"N.D.",BN9/BN$5)</f>
        <v>0.59827251943425</v>
      </c>
      <c r="BP9" s="204">
        <f>SUM(BH9,BJ9,BL9,BN9)</f>
        <v>960.94997</v>
      </c>
      <c r="BQ9" s="220">
        <f>IF(BP$5=0,"N.D.",BP9/BP$5)</f>
        <v>0.60969068590874</v>
      </c>
      <c r="BU9" s="7" t="s">
        <v>106</v>
      </c>
      <c r="BV9" s="194">
        <f>BDER!$C515/1000+ajustes!Z5</f>
        <v>10.7103</v>
      </c>
      <c r="BW9" s="220">
        <f>IF(BV$5=0,"N.D.",BV9/BV$5)</f>
        <v>0.24158813016702</v>
      </c>
      <c r="BX9" s="8">
        <f>BDER!$C582/1000+ajustes!AA5</f>
        <v>9.37068</v>
      </c>
      <c r="BY9" s="220">
        <f>IF(BX$5=0,"N.D.",BX9/BX$5)</f>
        <v>0.31387736358128</v>
      </c>
      <c r="BZ9" s="195">
        <f>BDER!$C627/1000+ajustes!AB5</f>
        <v>1.52642</v>
      </c>
      <c r="CA9" s="220">
        <f>IF(BZ$5=0,"N.D.",BZ9/BZ$5)</f>
        <v>0.076381035493898</v>
      </c>
      <c r="CB9" s="8">
        <f>BDER!$C537/1000+ajustes!AC5</f>
        <v>0.0152</v>
      </c>
      <c r="CC9" s="220">
        <f>IF(CB$5=0,"N.D.",CB9/CB$5)</f>
        <v>0.0040609137055838</v>
      </c>
      <c r="CD9" s="204">
        <f>BDER!$C649/1000+ajustes!AD5</f>
        <v>0</v>
      </c>
      <c r="CE9" s="220">
        <f>IF(CD$5=0,"N.D.",CD9/CD$5)</f>
        <v>0</v>
      </c>
      <c r="CF9" s="204">
        <f>SUM(BV9,BX9,BZ9,CB9,CD9)</f>
        <v>21.6226</v>
      </c>
      <c r="CG9" s="220">
        <f>IF(CF$5=0,"N.D.",CF9/CF$5)</f>
        <v>0.20972909595708</v>
      </c>
    </row>
    <row r="10" spans="1:85">
      <c r="B10" s="7" t="s">
        <v>30</v>
      </c>
      <c r="C10" s="198">
        <f>BDER!$C162/1000+ajustes!B6</f>
        <v>53.63116</v>
      </c>
      <c r="D10" s="219" t="str">
        <f>IF(C$5=0,"N.D.",C10/C$5)</f>
        <v>N.D.</v>
      </c>
      <c r="E10" s="11">
        <f>BDER!$C140/1000+ajustes!C6</f>
        <v>20.1041</v>
      </c>
      <c r="F10" s="219" t="str">
        <f>IF(E$5=0,"N.D.",E10/E$5)</f>
        <v>N.D.</v>
      </c>
      <c r="G10" s="30">
        <f>BDER!$C206/1000+ajustes!D6</f>
        <v>1.253</v>
      </c>
      <c r="H10" s="219" t="str">
        <f>IF(G$5=0,"N.D.",G10/G$5)</f>
        <v>N.D.</v>
      </c>
      <c r="I10" s="11">
        <f>BDER!$C184/1000+ajustes!E6</f>
        <v>0.975</v>
      </c>
      <c r="J10" s="219" t="str">
        <f>IF(I$5=0,"N.D.",I10/I$5)</f>
        <v>N.D.</v>
      </c>
      <c r="K10" s="206">
        <f>SUM(C10,E10,G10,I10)</f>
        <v>75.96326</v>
      </c>
      <c r="L10" s="219" t="str">
        <f>IF(K$5=0,"N.D.",K10/K$5)</f>
        <v>N.D.</v>
      </c>
      <c r="N10" s="7" t="s">
        <v>30</v>
      </c>
      <c r="O10" s="198">
        <f>BDER!$C8/1000+ajustes!F6</f>
        <v>3264.71618</v>
      </c>
      <c r="P10" s="219">
        <f>IF(O$5=0,"N.D.",O10/O$5)</f>
        <v>0.1105929347242</v>
      </c>
      <c r="Q10" s="11">
        <f>BDER!$C30/1000+ajustes!G6</f>
        <v>1410.2374</v>
      </c>
      <c r="R10" s="219">
        <f>IF(Q$5=0,"N.D.",Q10/Q$5)</f>
        <v>0.22507381146336</v>
      </c>
      <c r="S10" s="30">
        <f>BDER!$C52/1000+ajustes!H6</f>
        <v>1099.52689</v>
      </c>
      <c r="T10" s="219">
        <f>IF(S$5=0,"N.D.",S10/S$5)</f>
        <v>0.039451943884596</v>
      </c>
      <c r="U10" s="11">
        <f>BDER!$C74/1000+ajustes!I6</f>
        <v>3161.43766</v>
      </c>
      <c r="V10" s="219">
        <f>IF(U$5=0,"N.D.",U10/U$5)</f>
        <v>0.91522986832815</v>
      </c>
      <c r="W10" s="30">
        <f>BDER!$C96/1000+ajustes!J6</f>
        <v>155.48488</v>
      </c>
      <c r="X10" s="219">
        <f>IF(W$5=0,"N.D.",W10/W$5)</f>
        <v>0.47713833999858</v>
      </c>
      <c r="Y10" s="11">
        <f>BDER!$C118/1000+ajustes!K6</f>
        <v>168.23455</v>
      </c>
      <c r="Z10" s="219">
        <f>IF(Y$5=0,"N.D.",Y10/Y$5)</f>
        <v>0.63710728622283</v>
      </c>
      <c r="AA10" s="206">
        <f>SUM(O10,Q10,S10,U10,W10,Y10)-AC10</f>
        <v>5805.38222</v>
      </c>
      <c r="AB10" s="219">
        <f>IF(AA$5=0,"N.D.",AA10/AA$5)</f>
        <v>0.10893381304401</v>
      </c>
      <c r="AC10" s="276">
        <f>ELIM!C6/1000</f>
        <v>3454.25534</v>
      </c>
      <c r="AE10" s="7" t="s">
        <v>30</v>
      </c>
      <c r="AF10" s="11">
        <f>BDER!$C294/1000+BDER!C289/1000+ajustes!L6</f>
        <v>2792.09531</v>
      </c>
      <c r="AG10" s="219">
        <f>IF(AF$5=0,"N.D.",AF10/AF$5)</f>
        <v>0.053110382667476</v>
      </c>
      <c r="AH10" s="11">
        <f>BDER!$C316/1000-BDER!C311/1000+ajustes!M6</f>
        <v>2439.06994</v>
      </c>
      <c r="AI10" s="219">
        <f>IF(AH$5=0,"N.D.",AH10/AH$5)</f>
        <v>0.070539015603571</v>
      </c>
      <c r="AJ10" s="11">
        <f>BDER!$C360/1000-BDER!C355/1000+ajustes!N6</f>
        <v>803.80455</v>
      </c>
      <c r="AK10" s="219">
        <f>IF(AJ$5=0,"N.D.",AJ10/AJ$5)</f>
        <v>0.11392543193521</v>
      </c>
      <c r="AL10" s="11">
        <f>BDER!$C338/2000+BDER!C333/2000+ajustes!O6</f>
        <v>473.85308</v>
      </c>
      <c r="AM10" s="219">
        <f>IF(AL$5=0,"N.D.",AL10/AL$5)</f>
        <v>0.050652448277817</v>
      </c>
      <c r="AN10" s="11">
        <f>ajustes!P6</f>
        <v>0</v>
      </c>
      <c r="AO10" s="219" t="str">
        <f>IF(AN$5=0,"N.D.",AN10/AN$5)</f>
        <v>N.D.</v>
      </c>
      <c r="AP10" s="11">
        <f>BDER!$C404/1000+ajustes!Q6</f>
        <v>6.02641</v>
      </c>
      <c r="AQ10" s="219">
        <f>IF(AP$5=0,"N.D.",AP10/AP$5)</f>
        <v>0.0011834934105475</v>
      </c>
      <c r="AR10" s="11">
        <f>BDER!$C382/1000+BDER!$C377/1000+ajustes!R6</f>
        <v>1332.4698</v>
      </c>
      <c r="AS10" s="219">
        <f>IF(AR$5=0,"N.D.",AR10/AR$5)</f>
        <v>0.020864321804042</v>
      </c>
      <c r="AT10" s="11">
        <f>SUM(AF10,AH10,AJ10,AL10,AN10,AP10,AR10)</f>
        <v>7847.31909</v>
      </c>
      <c r="AU10" s="219">
        <f>IF(AT$5=0,"N.D.",AT10/AT$5)</f>
        <v>0.045487674552166</v>
      </c>
      <c r="AX10" s="7" t="s">
        <v>30</v>
      </c>
      <c r="AY10" s="11">
        <f>BDER!$C448/1000+ajustes!S6</f>
        <v>470.91111</v>
      </c>
      <c r="AZ10" s="219">
        <f>IF(AY$5=0,"N.D.",AY10/AY$5)</f>
        <v>0.075216124257109</v>
      </c>
      <c r="BA10" s="206">
        <f>BDER!$C426/1000+ajustes!T6</f>
        <v>110.56899</v>
      </c>
      <c r="BB10" s="219">
        <f>IF(BA$5=0,"N.D.",BA10/BA$5)</f>
        <v>0.096471060389359</v>
      </c>
      <c r="BC10" s="206">
        <f>SUM(AY10,BA10)</f>
        <v>581.4801</v>
      </c>
      <c r="BD10" s="219">
        <f>IF(BC$5=0,"N.D.",BC10/BC$5)</f>
        <v>0.078505087660201</v>
      </c>
      <c r="BE10" s="187"/>
      <c r="BG10" s="7" t="s">
        <v>107</v>
      </c>
      <c r="BH10" s="198">
        <f>BDER!$C471/1000+ajustes!V6</f>
        <v>7.51181</v>
      </c>
      <c r="BI10" s="219">
        <f>IF(BH$5=0,"N.D.",BH10/BH$5)</f>
        <v>0.024195509558016</v>
      </c>
      <c r="BJ10" s="11">
        <f>BDER!$C494/1000+ajustes!W6</f>
        <v>12.14926</v>
      </c>
      <c r="BK10" s="219">
        <f>IF(BJ$5=0,"N.D.",BJ10/BJ$5)</f>
        <v>0.020070688479597</v>
      </c>
      <c r="BL10" s="30">
        <f>BDER!$C561/1000+ajustes!X6</f>
        <v>6.67619</v>
      </c>
      <c r="BM10" s="219">
        <f>IF(BL$5=0,"N.D.",BL10/BL$5)</f>
        <v>0.024281130243535</v>
      </c>
      <c r="BN10" s="11">
        <f>BDER!$C606/1000+ajustes!Y6</f>
        <v>8.04141</v>
      </c>
      <c r="BO10" s="219">
        <f>IF(BN$5=0,"N.D.",BN10/BN$5)</f>
        <v>0.02086582234757</v>
      </c>
      <c r="BP10" s="206">
        <f>SUM(BH10,BJ10,BL10,BN10)</f>
        <v>34.37867</v>
      </c>
      <c r="BQ10" s="219">
        <f>IF(BP$5=0,"N.D.",BP10/BP$5)</f>
        <v>0.021812118785882</v>
      </c>
      <c r="BU10" s="7" t="s">
        <v>107</v>
      </c>
      <c r="BV10" s="198">
        <f>BDER!$C516/1000+ajustes!Z6</f>
        <v>0</v>
      </c>
      <c r="BW10" s="219">
        <f>IF(BV$5=0,"N.D.",BV10/BV$5)</f>
        <v>0</v>
      </c>
      <c r="BX10" s="11">
        <f>BDER!$C583/1000+ajustes!AA6</f>
        <v>0</v>
      </c>
      <c r="BY10" s="219">
        <f>IF(BX$5=0,"N.D.",BX10/BX$5)</f>
        <v>0</v>
      </c>
      <c r="BZ10" s="30">
        <f>BDER!$C628/1000+ajustes!AB6</f>
        <v>0</v>
      </c>
      <c r="CA10" s="219">
        <f>IF(BZ$5=0,"N.D.",BZ10/BZ$5)</f>
        <v>0</v>
      </c>
      <c r="CB10" s="11">
        <f>BDER!$C538/1000+ajustes!AC6</f>
        <v>0</v>
      </c>
      <c r="CC10" s="219">
        <f>IF(CB$5=0,"N.D.",CB10/CB$5)</f>
        <v>0</v>
      </c>
      <c r="CD10" s="206">
        <f>BDER!$C650/1000+ajustes!AD6</f>
        <v>0.02339</v>
      </c>
      <c r="CE10" s="219">
        <f>IF(CD$5=0,"N.D.",CD10/CD$5)</f>
        <v>0.0045128304071001</v>
      </c>
      <c r="CF10" s="206">
        <f>SUM(BV10,BX10,BZ10,CB10,CD10)</f>
        <v>0.02339</v>
      </c>
      <c r="CG10" s="219">
        <f>IF(CF$5=0,"N.D.",CF10/CF$5)</f>
        <v>0.00022687204843248</v>
      </c>
    </row>
    <row r="11" spans="1:85">
      <c r="B11" s="7" t="s">
        <v>31</v>
      </c>
      <c r="C11" s="196">
        <f>BDER!$C163/1000+ajustes!B7</f>
        <v>0</v>
      </c>
      <c r="D11" s="219" t="str">
        <f>IF(C$5=0,"N.D.",C11/C$5)</f>
        <v>N.D.</v>
      </c>
      <c r="E11" s="34">
        <f>BDER!$C141/1000+ajustes!C7</f>
        <v>0</v>
      </c>
      <c r="F11" s="219" t="str">
        <f>IF(E$5=0,"N.D.",E11/E$5)</f>
        <v>N.D.</v>
      </c>
      <c r="G11" s="197">
        <f>BDER!$C207/1000+ajustes!D7</f>
        <v>0</v>
      </c>
      <c r="H11" s="219" t="str">
        <f>IF(G$5=0,"N.D.",G11/G$5)</f>
        <v>N.D.</v>
      </c>
      <c r="I11" s="34">
        <f>BDER!$C185/1000+ajustes!E7</f>
        <v>0</v>
      </c>
      <c r="J11" s="219" t="str">
        <f>IF(I$5=0,"N.D.",I11/I$5)</f>
        <v>N.D.</v>
      </c>
      <c r="K11" s="207">
        <f>SUM(C11,E11,G11,I11)</f>
        <v>0</v>
      </c>
      <c r="L11" s="219" t="str">
        <f>IF(K$5=0,"N.D.",K11/K$5)</f>
        <v>N.D.</v>
      </c>
      <c r="N11" s="7" t="s">
        <v>31</v>
      </c>
      <c r="O11" s="196">
        <f>BDER!$C9/1000+ajustes!F7</f>
        <v>708.43615</v>
      </c>
      <c r="P11" s="219">
        <f>IF(O$5=0,"N.D.",O11/O$5)</f>
        <v>0.023998420865244</v>
      </c>
      <c r="Q11" s="34">
        <f>BDER!$C31/1000+ajustes!G7</f>
        <v>0</v>
      </c>
      <c r="R11" s="219">
        <f>IF(Q$5=0,"N.D.",Q11/Q$5)</f>
        <v>0</v>
      </c>
      <c r="S11" s="197">
        <f>BDER!$C53/1000+ajustes!H7</f>
        <v>110.02908</v>
      </c>
      <c r="T11" s="219">
        <f>IF(S$5=0,"N.D.",S11/S$5)</f>
        <v>0.0039479353613932</v>
      </c>
      <c r="U11" s="34">
        <f>BDER!$C75/1000+ajustes!I7</f>
        <v>45.17632</v>
      </c>
      <c r="V11" s="219">
        <f>IF(U$5=0,"N.D.",U11/U$5)</f>
        <v>0.013078454124934</v>
      </c>
      <c r="W11" s="197">
        <f>BDER!$C97/1000+ajustes!J7</f>
        <v>0</v>
      </c>
      <c r="X11" s="219">
        <f>IF(W$5=0,"N.D.",W11/W$5)</f>
        <v>0</v>
      </c>
      <c r="Y11" s="34">
        <f>BDER!$C119/1000+ajustes!K7</f>
        <v>46.87208</v>
      </c>
      <c r="Z11" s="219">
        <f>IF(Y$5=0,"N.D.",Y11/Y$5)</f>
        <v>0.17750541543589</v>
      </c>
      <c r="AA11" s="207">
        <f>SUM(O11,Q11,S11,U11,W11,Y11)</f>
        <v>910.51363</v>
      </c>
      <c r="AB11" s="219">
        <f>IF(AA$5=0,"N.D.",AA11/AA$5)</f>
        <v>0.017085132000911</v>
      </c>
      <c r="AC11" s="276"/>
      <c r="AE11" s="7" t="s">
        <v>31</v>
      </c>
      <c r="AF11" s="11">
        <f>BDER!$C295/1000+ajustes!L7</f>
        <v>355.15084</v>
      </c>
      <c r="AG11" s="219">
        <f>IF(AF$5=0,"N.D.",AF11/AF$5)</f>
        <v>0.0067555706101865</v>
      </c>
      <c r="AH11" s="11">
        <f>BDER!$C317/1000+ajustes!M7</f>
        <v>631.87185</v>
      </c>
      <c r="AI11" s="219">
        <f>IF(AH$5=0,"N.D.",AH11/AH$5)</f>
        <v>0.018274022222834</v>
      </c>
      <c r="AJ11" s="11">
        <f>BDER!$C361/1000+ajustes!N7</f>
        <v>249.58119</v>
      </c>
      <c r="AK11" s="219">
        <f>IF(AJ$5=0,"N.D.",AJ11/AJ$5)</f>
        <v>0.035373829214643</v>
      </c>
      <c r="AL11" s="11">
        <f>BDER!$C339/2000+ajustes!O7</f>
        <v>177.5445</v>
      </c>
      <c r="AM11" s="219">
        <f>IF(AL$5=0,"N.D.",AL11/AL$5)</f>
        <v>0.018978590586054</v>
      </c>
      <c r="AN11" s="11">
        <f>ajustes!P7</f>
        <v>0</v>
      </c>
      <c r="AO11" s="219" t="str">
        <f>IF(AN$5=0,"N.D.",AN11/AN$5)</f>
        <v>N.D.</v>
      </c>
      <c r="AP11" s="11">
        <f>BDER!$C405/1000+ajustes!Q7</f>
        <v>296.23773</v>
      </c>
      <c r="AQ11" s="219">
        <f>IF(AP$5=0,"N.D.",AP11/AP$5)</f>
        <v>0.058176493370106</v>
      </c>
      <c r="AR11" s="11">
        <f>BDER!$C383/1000+ajustes!R7</f>
        <v>231.41785</v>
      </c>
      <c r="AS11" s="219">
        <f>IF(AR$5=0,"N.D.",AR11/AR$5)</f>
        <v>0.0036236292136599</v>
      </c>
      <c r="AT11" s="11">
        <f>SUM(AF11,AH11,AJ11,AL11,AN11,AP11,AR11)</f>
        <v>1941.80396</v>
      </c>
      <c r="AU11" s="219">
        <f>IF(AT$5=0,"N.D.",AT11/AT$5)</f>
        <v>0.011255837256464</v>
      </c>
      <c r="AX11" s="7" t="s">
        <v>31</v>
      </c>
      <c r="AY11" s="34">
        <f>BDER!$C449/1000+ajustes!S7</f>
        <v>6.87567</v>
      </c>
      <c r="AZ11" s="219">
        <f>IF(AY$5=0,"N.D.",AY11/AY$5)</f>
        <v>0.0010982141599311</v>
      </c>
      <c r="BA11" s="207">
        <f>BDER!$C427/1000+ajustes!T7</f>
        <v>25.04974</v>
      </c>
      <c r="BB11" s="219">
        <f>IF(BA$5=0,"N.D.",BA11/BA$5)</f>
        <v>0.02185581129282</v>
      </c>
      <c r="BC11" s="206">
        <f>SUM(AY11,BA11)</f>
        <v>31.92541</v>
      </c>
      <c r="BD11" s="219">
        <f>IF(BC$5=0,"N.D.",BC11/BC$5)</f>
        <v>0.0043102199209188</v>
      </c>
      <c r="BE11" s="187"/>
      <c r="BG11" s="7" t="s">
        <v>108</v>
      </c>
      <c r="BH11" s="196">
        <f>BDER!$C472/1000+ajustes!V7</f>
        <v>1.12499</v>
      </c>
      <c r="BI11" s="219">
        <f>IF(BH$5=0,"N.D.",BH11/BH$5)</f>
        <v>0.0036235882294243</v>
      </c>
      <c r="BJ11" s="34">
        <f>BDER!$C495/1000+ajustes!W7</f>
        <v>6.0634</v>
      </c>
      <c r="BK11" s="219">
        <f>IF(BJ$5=0,"N.D.",BJ11/BJ$5)</f>
        <v>0.010016792177235</v>
      </c>
      <c r="BL11" s="197">
        <f>BDER!$C562/1000+ajustes!X7</f>
        <v>6.30428</v>
      </c>
      <c r="BM11" s="219">
        <f>IF(BL$5=0,"N.D.",BL11/BL$5)</f>
        <v>0.022928503198937</v>
      </c>
      <c r="BN11" s="34">
        <f>BDER!$C607/1000+ajustes!Y8</f>
        <v>5.11902</v>
      </c>
      <c r="BO11" s="219">
        <f>IF(BN$5=0,"N.D.",BN11/BN$5)</f>
        <v>0.013282815067713</v>
      </c>
      <c r="BP11" s="206">
        <f>SUM(BH11,BJ11,BL11,BN11)</f>
        <v>18.61169</v>
      </c>
      <c r="BQ11" s="219">
        <f>IF(BP$5=0,"N.D.",BP11/BP$5)</f>
        <v>0.011808496171784</v>
      </c>
      <c r="BU11" s="7" t="s">
        <v>108</v>
      </c>
      <c r="BV11" s="196">
        <f>BDER!$C517/1000+ajustes!Z7</f>
        <v>21.016</v>
      </c>
      <c r="BW11" s="219">
        <f>IF(BV$5=0,"N.D.",BV11/BV$5)</f>
        <v>0.47404985328049</v>
      </c>
      <c r="BX11" s="34">
        <f>BDER!$C584/1000+ajustes!AA7</f>
        <v>2.51317</v>
      </c>
      <c r="BY11" s="219">
        <f>IF(BX$5=0,"N.D.",BX11/BX$5)</f>
        <v>0.084180355516522</v>
      </c>
      <c r="BZ11" s="197">
        <f>BDER!$C629/1000+ajustes!AB7</f>
        <v>2.80912</v>
      </c>
      <c r="CA11" s="219">
        <f>IF(BZ$5=0,"N.D.",BZ11/BZ$5)</f>
        <v>0.14056648525741</v>
      </c>
      <c r="CB11" s="34">
        <f>BDER!$C539/1000+ajustes!AC7</f>
        <v>3.78604</v>
      </c>
      <c r="CC11" s="219">
        <f>IF(CB$5=0,"N.D.",CB11/CB$5)</f>
        <v>1.0114987977558</v>
      </c>
      <c r="CD11" s="207">
        <f>BDER!$C651/1000+ajustes!AD7</f>
        <v>0</v>
      </c>
      <c r="CE11" s="219">
        <f>IF(CD$5=0,"N.D.",CD11/CD$5)</f>
        <v>0</v>
      </c>
      <c r="CF11" s="206">
        <f>SUM(BV11,BX11,BZ11,CB11,CD11)</f>
        <v>30.12433</v>
      </c>
      <c r="CG11" s="219">
        <f>IF(CF$5=0,"N.D.",CF11/CF$5)</f>
        <v>0.29219189631278</v>
      </c>
    </row>
    <row r="12" spans="1:85">
      <c r="B12" s="4" t="s">
        <v>32</v>
      </c>
      <c r="C12" s="212">
        <f>SUM(C9:C11)</f>
        <v>53.63116</v>
      </c>
      <c r="D12" s="22" t="str">
        <f>IF(C$5=0,"N.D.",C12/C$5)</f>
        <v>N.D.</v>
      </c>
      <c r="E12" s="209">
        <f>SUM(E9:E11)</f>
        <v>20.7791</v>
      </c>
      <c r="F12" s="22" t="str">
        <f>IF(E$5=0,"N.D.",E12/E$5)</f>
        <v>N.D.</v>
      </c>
      <c r="G12" s="212">
        <f>SUM(G9:G11)</f>
        <v>1.253</v>
      </c>
      <c r="H12" s="22" t="str">
        <f>IF(G$5=0,"N.D.",G12/G$5)</f>
        <v>N.D.</v>
      </c>
      <c r="I12" s="14">
        <f>SUM(I9:I11)</f>
        <v>0.975</v>
      </c>
      <c r="J12" s="22" t="str">
        <f>IF(I$5=0,"N.D.",I12/I$5)</f>
        <v>N.D.</v>
      </c>
      <c r="K12" s="210">
        <f>SUM(K9:K11)</f>
        <v>76.63826</v>
      </c>
      <c r="L12" s="22" t="str">
        <f>IF(K$5=0,"N.D.",K12/K$5)</f>
        <v>N.D.</v>
      </c>
      <c r="N12" s="4" t="s">
        <v>32</v>
      </c>
      <c r="O12" s="216">
        <f>SUM(O9:O11)</f>
        <v>15882.37342</v>
      </c>
      <c r="P12" s="22">
        <f>IF(O$5=0,"N.D.",O12/O$5)</f>
        <v>0.53801867913167</v>
      </c>
      <c r="Q12" s="208">
        <f>SUM(Q9:Q11)</f>
        <v>1410.2374</v>
      </c>
      <c r="R12" s="22">
        <f>IF(Q$5=0,"N.D.",Q12/Q$5)</f>
        <v>0.22507381146336</v>
      </c>
      <c r="S12" s="202">
        <f>SUM(S9:S11)</f>
        <v>3914.93861</v>
      </c>
      <c r="T12" s="22">
        <f>IF(S$5=0,"N.D.",S12/S$5)</f>
        <v>0.14047126974162</v>
      </c>
      <c r="U12" s="208">
        <f>SUM(U9:U11)</f>
        <v>3206.61398</v>
      </c>
      <c r="V12" s="22">
        <f>IF(U$5=0,"N.D.",U12/U$5)</f>
        <v>0.92830832245308</v>
      </c>
      <c r="W12" s="202">
        <f>SUM(W9:W11)</f>
        <v>155.48488</v>
      </c>
      <c r="X12" s="22">
        <f>IF(W$5=0,"N.D.",W12/W$5)</f>
        <v>0.47713833999858</v>
      </c>
      <c r="Y12" s="208">
        <f>SUM(Y9:Y11)</f>
        <v>215.10663</v>
      </c>
      <c r="Z12" s="22">
        <f>IF(Y$5=0,"N.D.",Y12/Y$5)</f>
        <v>0.81461270165871</v>
      </c>
      <c r="AA12" s="213">
        <f>SUM(AA9:AA11)</f>
        <v>19571.52985</v>
      </c>
      <c r="AB12" s="22">
        <f>IF(AA$5=0,"N.D.",AA12/AA$5)</f>
        <v>0.36724565116836</v>
      </c>
      <c r="AC12" s="276"/>
      <c r="AE12" s="4" t="s">
        <v>32</v>
      </c>
      <c r="AF12" s="14">
        <f>SUM(AF9:AF11)</f>
        <v>7302.03408</v>
      </c>
      <c r="AG12" s="22">
        <f>IF(AF$5=0,"N.D.",AF12/AF$5)</f>
        <v>0.13889705800901</v>
      </c>
      <c r="AH12" s="14">
        <f>SUM(AH9:AH11)</f>
        <v>10420.63839</v>
      </c>
      <c r="AI12" s="22">
        <f>IF(AH$5=0,"N.D.",AH12/AH$5)</f>
        <v>0.30136961713832</v>
      </c>
      <c r="AJ12" s="14">
        <f>SUM(AJ9:AJ11)</f>
        <v>4852.92551</v>
      </c>
      <c r="AK12" s="22">
        <f>IF(AJ$5=0,"N.D.",AJ12/AJ$5)</f>
        <v>0.68781849378202</v>
      </c>
      <c r="AL12" s="14">
        <f>SUM(AL9:AL11)</f>
        <v>2512.270245</v>
      </c>
      <c r="AM12" s="22">
        <f>IF(AL$5=0,"N.D.",AL12/AL$5)</f>
        <v>0.2685487211453</v>
      </c>
      <c r="AN12" s="14">
        <f>SUM(AN9:AN11)</f>
        <v>0</v>
      </c>
      <c r="AO12" s="22" t="str">
        <f>IF(AN$5=0,"N.D.",AN12/AN$5)</f>
        <v>N.D.</v>
      </c>
      <c r="AP12" s="14">
        <f>SUM(AP9:AP11)</f>
        <v>1467.92756</v>
      </c>
      <c r="AQ12" s="22">
        <f>IF(AP$5=0,"N.D.",AP12/AP$5)</f>
        <v>0.28827819455049</v>
      </c>
      <c r="AR12" s="14">
        <f>SUM(AR9:AR11)</f>
        <v>4565.8377</v>
      </c>
      <c r="AS12" s="22">
        <f>IF(AR$5=0,"N.D.",AR12/AR$5)</f>
        <v>0.071493633159887</v>
      </c>
      <c r="AT12" s="14">
        <f>SUM(AT9:AT11)</f>
        <v>31121.633485</v>
      </c>
      <c r="AU12" s="22">
        <f>IF(AT$5=0,"N.D.",AT12/AT$5)</f>
        <v>0.18039928276925</v>
      </c>
      <c r="AX12" s="4" t="s">
        <v>32</v>
      </c>
      <c r="AY12" s="208">
        <f>SUM(AY9:AY11)</f>
        <v>526.15878</v>
      </c>
      <c r="AZ12" s="22">
        <f>IF(AY$5=0,"N.D.",AY12/AY$5)</f>
        <v>0.08404054042269</v>
      </c>
      <c r="BA12" s="208">
        <f>SUM(BA9:BA11)</f>
        <v>135.61873</v>
      </c>
      <c r="BB12" s="22">
        <f>IF(BA$5=0,"N.D.",BA12/BA$5)</f>
        <v>0.11832687168218</v>
      </c>
      <c r="BC12" s="14">
        <f>SUM(BC9:BC11)</f>
        <v>661.77751</v>
      </c>
      <c r="BD12" s="22">
        <f>IF(BC$5=0,"N.D.",BC12/BC$5)</f>
        <v>0.089345966326448</v>
      </c>
      <c r="BE12" s="221"/>
      <c r="BG12" s="4" t="s">
        <v>109</v>
      </c>
      <c r="BH12" s="208">
        <f>SUM(BH9:BH11)</f>
        <v>195.43468</v>
      </c>
      <c r="BI12" s="22">
        <f>IF(BH$5=0,"N.D.",BH12/BH$5)</f>
        <v>0.62949431201105</v>
      </c>
      <c r="BJ12" s="208">
        <f>SUM(BJ9:BJ11)</f>
        <v>411.34264</v>
      </c>
      <c r="BK12" s="22">
        <f>IF(BJ$5=0,"N.D.",BJ12/BJ$5)</f>
        <v>0.67954179808606</v>
      </c>
      <c r="BL12" s="208">
        <f>SUM(BL9:BL11)</f>
        <v>163.43632</v>
      </c>
      <c r="BM12" s="22">
        <f>IF(BL$5=0,"N.D.",BL12/BL$5)</f>
        <v>0.5944136659448</v>
      </c>
      <c r="BN12" s="208">
        <f>SUM(BN9:BN11)</f>
        <v>243.72669</v>
      </c>
      <c r="BO12" s="22">
        <f>IF(BN$5=0,"N.D.",BN12/BN$5)</f>
        <v>0.63242115684953</v>
      </c>
      <c r="BP12" s="14">
        <f>SUM(BP9:BP11)</f>
        <v>1013.94033</v>
      </c>
      <c r="BQ12" s="22">
        <f>IF(BP$5=0,"N.D.",BP12/BP$5)</f>
        <v>0.6433113008664</v>
      </c>
      <c r="BU12" s="4" t="s">
        <v>109</v>
      </c>
      <c r="BV12" s="208">
        <f>SUM(BV9:BV11)</f>
        <v>31.7263</v>
      </c>
      <c r="BW12" s="22">
        <f>IF(BV$5=0,"N.D.",BV12/BV$5)</f>
        <v>0.7156379834475</v>
      </c>
      <c r="BX12" s="208">
        <f>SUM(BX9:BX11)</f>
        <v>11.88385</v>
      </c>
      <c r="BY12" s="22">
        <f>IF(BX$5=0,"N.D.",BX12/BX$5)</f>
        <v>0.3980577190978</v>
      </c>
      <c r="BZ12" s="208">
        <f>SUM(BZ9:BZ11)</f>
        <v>4.33554</v>
      </c>
      <c r="CA12" s="22">
        <f>IF(BZ$5=0,"N.D.",BZ12/BZ$5)</f>
        <v>0.21694752075131</v>
      </c>
      <c r="CB12" s="208">
        <f>SUM(CB9:CB11)</f>
        <v>3.80124</v>
      </c>
      <c r="CC12" s="22">
        <f>IF(CB$5=0,"N.D.",CB12/CB$5)</f>
        <v>1.0155597114614</v>
      </c>
      <c r="CD12" s="208">
        <f>SUM(CD9:CD11)</f>
        <v>0.02339</v>
      </c>
      <c r="CE12" s="22">
        <f>IF(CD$5=0,"N.D.",CD12/CD$5)</f>
        <v>0.0045128304071001</v>
      </c>
      <c r="CF12" s="14">
        <f>SUM(CF9:CF11)</f>
        <v>51.77032</v>
      </c>
      <c r="CG12" s="22">
        <f>IF(CF$5=0,"N.D.",CF12/CF$5)</f>
        <v>0.50214786431829</v>
      </c>
    </row>
    <row r="13" spans="1:85">
      <c r="B13" s="4" t="s">
        <v>33</v>
      </c>
      <c r="C13" s="215">
        <f>C7-C12</f>
        <v>-53.63116</v>
      </c>
      <c r="D13" s="22" t="str">
        <f>IF(C$5=0,"N.D.",C13/C$5)</f>
        <v>N.D.</v>
      </c>
      <c r="E13" s="31">
        <f>E7-E12</f>
        <v>-20.7791</v>
      </c>
      <c r="F13" s="22" t="str">
        <f>IF(E$5=0,"N.D.",E13/E$5)</f>
        <v>N.D.</v>
      </c>
      <c r="G13" s="14">
        <f>G7-G12</f>
        <v>-1.253</v>
      </c>
      <c r="H13" s="22" t="str">
        <f>IF(G$5=0,"N.D.",G13/G$5)</f>
        <v>N.D.</v>
      </c>
      <c r="I13" s="31">
        <f>I7-I12</f>
        <v>-0.975</v>
      </c>
      <c r="J13" s="22" t="str">
        <f>IF(I$5=0,"N.D.",I13/I$5)</f>
        <v>N.D.</v>
      </c>
      <c r="K13" s="14">
        <f>K7-K12</f>
        <v>-76.63826</v>
      </c>
      <c r="L13" s="22" t="str">
        <f>IF(K$5=0,"N.D.",K13/K$5)</f>
        <v>N.D.</v>
      </c>
      <c r="N13" s="4" t="s">
        <v>33</v>
      </c>
      <c r="O13" s="212">
        <f>O7-O12</f>
        <v>3627.12232</v>
      </c>
      <c r="P13" s="22">
        <f>IF(O$5=0,"N.D.",O13/O$5)</f>
        <v>0.12286951754944</v>
      </c>
      <c r="Q13" s="200">
        <f>Q7-Q12</f>
        <v>1463.40017</v>
      </c>
      <c r="R13" s="22">
        <f>IF(Q$5=0,"N.D.",Q13/Q$5)</f>
        <v>0.23355858663089</v>
      </c>
      <c r="S13" s="209">
        <f>S7-S12</f>
        <v>1012.55355</v>
      </c>
      <c r="T13" s="22">
        <f>IF(S$5=0,"N.D.",S13/S$5)</f>
        <v>0.036331267746211</v>
      </c>
      <c r="U13" s="200">
        <f>U7-U12</f>
        <v>247.64136</v>
      </c>
      <c r="V13" s="22">
        <f>IF(U$5=0,"N.D.",U13/U$5)</f>
        <v>0.071691677546918</v>
      </c>
      <c r="W13" s="209">
        <f>W7-W12</f>
        <v>-39.65434</v>
      </c>
      <c r="X13" s="22">
        <f>IF(W$5=0,"N.D.",W13/W$5)</f>
        <v>-0.12168775485654</v>
      </c>
      <c r="Y13" s="200">
        <f>Y7-Y12</f>
        <v>48.95337</v>
      </c>
      <c r="Z13" s="22">
        <f>IF(Y$5=0,"N.D.",Y13/Y$5)</f>
        <v>0.18538729834129</v>
      </c>
      <c r="AA13" s="210">
        <f>AA7-AA12</f>
        <v>6360.01643</v>
      </c>
      <c r="AB13" s="22">
        <f>IF(AA$5=0,"N.D.",AA13/AA$5)</f>
        <v>0.11934112423393</v>
      </c>
      <c r="AC13" s="276"/>
      <c r="AE13" s="4" t="s">
        <v>33</v>
      </c>
      <c r="AF13" s="20">
        <f>AF7-AF12</f>
        <v>1821.87912</v>
      </c>
      <c r="AG13" s="22">
        <f>IF(AF$5=0,"N.D.",AF13/AF$5)</f>
        <v>0.034655227165968</v>
      </c>
      <c r="AH13" s="20">
        <f>AH7-AH12</f>
        <v>2806.40233</v>
      </c>
      <c r="AI13" s="22">
        <f>IF(AH$5=0,"N.D.",AH13/AH$5)</f>
        <v>0.081162435934809</v>
      </c>
      <c r="AJ13" s="20">
        <f>AJ7-AJ12</f>
        <v>-2000.94305</v>
      </c>
      <c r="AK13" s="22">
        <f>IF(AJ$5=0,"N.D.",AJ13/AJ$5)</f>
        <v>-0.28359916754515</v>
      </c>
      <c r="AL13" s="20">
        <f>AL7-AL12</f>
        <v>1598.90793</v>
      </c>
      <c r="AM13" s="22">
        <f>IF(AL$5=0,"N.D.",AL13/AL$5)</f>
        <v>0.17091500434125</v>
      </c>
      <c r="AN13" s="20">
        <f>AN7-AN12</f>
        <v>0</v>
      </c>
      <c r="AO13" s="22" t="str">
        <f>IF(AN$5=0,"N.D.",AN13/AN$5)</f>
        <v>N.D.</v>
      </c>
      <c r="AP13" s="20">
        <f>AP7-AP12</f>
        <v>438.80978</v>
      </c>
      <c r="AQ13" s="22">
        <f>IF(AP$5=0,"N.D.",AP13/AP$5)</f>
        <v>0.086175431660605</v>
      </c>
      <c r="AR13" s="20">
        <f>AR7-AR12</f>
        <v>4777.4531</v>
      </c>
      <c r="AS13" s="22">
        <f>IF(AR$5=0,"N.D.",AR13/AR$5)</f>
        <v>0.074807188036922</v>
      </c>
      <c r="AT13" s="20">
        <f>AT7-AT12</f>
        <v>9442.50921</v>
      </c>
      <c r="AU13" s="22">
        <f>IF(AT$5=0,"N.D.",AT13/AT$5)</f>
        <v>0.054734334232394</v>
      </c>
      <c r="AX13" s="4" t="s">
        <v>33</v>
      </c>
      <c r="AY13" s="14">
        <f>AY7-AY12</f>
        <v>2734.24536</v>
      </c>
      <c r="AZ13" s="22">
        <f>IF(AY$5=0,"N.D.",AY13/AY$5)</f>
        <v>0.43672645299701</v>
      </c>
      <c r="BA13" s="14">
        <f>BA7-BA12</f>
        <v>134.75496</v>
      </c>
      <c r="BB13" s="22">
        <f>IF(BA$5=0,"N.D.",BA13/BA$5)</f>
        <v>0.11757323535221</v>
      </c>
      <c r="BC13" s="20">
        <f>BC7-BC12</f>
        <v>2869.00032</v>
      </c>
      <c r="BD13" s="22">
        <f>IF(BC$5=0,"N.D.",BC13/BC$5)</f>
        <v>0.38734106570241</v>
      </c>
      <c r="BE13" s="221"/>
      <c r="BG13" s="4" t="s">
        <v>110</v>
      </c>
      <c r="BH13" s="14">
        <f>BH7-BH12</f>
        <v>14.41864</v>
      </c>
      <c r="BI13" s="22">
        <f>IF(BH$5=0,"N.D.",BH13/BH$5)</f>
        <v>0.046442380988548</v>
      </c>
      <c r="BJ13" s="14">
        <f>BJ7-BJ12</f>
        <v>18.98122</v>
      </c>
      <c r="BK13" s="22">
        <f>IF(BJ$5=0,"N.D.",BJ13/BJ$5)</f>
        <v>0.031357148796116</v>
      </c>
      <c r="BL13" s="14">
        <f>BL7-BL12</f>
        <v>30.89106</v>
      </c>
      <c r="BM13" s="22">
        <f>IF(BL$5=0,"N.D.",BL13/BL$5)</f>
        <v>0.11234998572851</v>
      </c>
      <c r="BN13" s="14">
        <f>BN7-BN12</f>
        <v>24.80873</v>
      </c>
      <c r="BO13" s="22">
        <f>IF(BN$5=0,"N.D.",BN13/BN$5)</f>
        <v>0.064373605232023</v>
      </c>
      <c r="BP13" s="20">
        <f>BP7-BP12</f>
        <v>89.09965</v>
      </c>
      <c r="BQ13" s="22">
        <f>IF(BP$5=0,"N.D.",BP13/BP$5)</f>
        <v>0.056530754377076</v>
      </c>
      <c r="BU13" s="4" t="s">
        <v>110</v>
      </c>
      <c r="BV13" s="14">
        <f>BV7-BV12</f>
        <v>12.60659</v>
      </c>
      <c r="BW13" s="22">
        <f>IF(BV$5=0,"N.D.",BV13/BV$5)</f>
        <v>0.2843620165525</v>
      </c>
      <c r="BX13" s="14">
        <f>BX7-BX12</f>
        <v>17.97074</v>
      </c>
      <c r="BY13" s="22">
        <f>IF(BX$5=0,"N.D.",BX13/BX$5)</f>
        <v>0.6019422809022</v>
      </c>
      <c r="BZ13" s="14">
        <f>BZ7-BZ12</f>
        <v>15.64874</v>
      </c>
      <c r="CA13" s="22">
        <f>IF(BZ$5=0,"N.D.",BZ13/BZ$5)</f>
        <v>0.78305247924869</v>
      </c>
      <c r="CB13" s="14">
        <f>CB7-CB12</f>
        <v>-0.05824</v>
      </c>
      <c r="CC13" s="22">
        <f>IF(CB$5=0,"N.D.",CB13/CB$5)</f>
        <v>-0.015559711461395</v>
      </c>
      <c r="CD13" s="14">
        <f>CD7-CD12</f>
        <v>5.15961</v>
      </c>
      <c r="CE13" s="22">
        <f>IF(CD$5=0,"N.D.",CD13/CD$5)</f>
        <v>0.9954871695929</v>
      </c>
      <c r="CF13" s="20">
        <f>CF7-CF12</f>
        <v>51.32744</v>
      </c>
      <c r="CG13" s="22">
        <f>IF(CF$5=0,"N.D.",CF13/CF$5)</f>
        <v>0.49785213568171</v>
      </c>
    </row>
    <row r="14" spans="1:85">
      <c r="B14" s="1"/>
      <c r="C14" s="30"/>
      <c r="D14" s="30"/>
      <c r="E14" s="30"/>
      <c r="F14" s="30"/>
      <c r="G14" s="30"/>
      <c r="H14" s="30"/>
      <c r="I14" s="30"/>
      <c r="J14" s="30"/>
      <c r="K14" s="30"/>
      <c r="L14" s="30"/>
      <c r="N14" s="1"/>
      <c r="O14" s="217"/>
      <c r="P14" s="30"/>
      <c r="Q14" s="217"/>
      <c r="R14" s="30"/>
      <c r="S14" s="217"/>
      <c r="T14" s="30"/>
      <c r="U14" s="217"/>
      <c r="V14" s="30"/>
      <c r="W14" s="217"/>
      <c r="X14" s="30"/>
      <c r="Y14" s="217"/>
      <c r="Z14" s="30"/>
      <c r="AA14" s="217"/>
      <c r="AB14" s="30"/>
      <c r="AC14" s="276"/>
      <c r="AE14" s="1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X14" s="1"/>
      <c r="AY14" s="30"/>
      <c r="AZ14" s="30"/>
      <c r="BA14" s="30"/>
      <c r="BB14" s="30"/>
      <c r="BC14" s="30"/>
      <c r="BD14" s="30"/>
      <c r="BE14" s="30"/>
      <c r="BG14" s="1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U14" s="1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</row>
    <row r="15" spans="1:85">
      <c r="B15" s="7" t="s">
        <v>36</v>
      </c>
      <c r="C15" s="194">
        <f>BDER!$C166/1000+ajustes!B8</f>
        <v>0</v>
      </c>
      <c r="D15" s="220" t="str">
        <f>IF(C$5=0,"N.D.",C15/C$5)</f>
        <v>N.D.</v>
      </c>
      <c r="E15" s="8">
        <f>BDER!$C144/1000+ajustes!C8</f>
        <v>0</v>
      </c>
      <c r="F15" s="220" t="str">
        <f>IF(E$5=0,"N.D.",E15/E$5)</f>
        <v>N.D.</v>
      </c>
      <c r="G15" s="195">
        <f>BDER!$C210/1000+ajustes!D8</f>
        <v>0</v>
      </c>
      <c r="H15" s="220" t="str">
        <f>IF(G$5=0,"N.D.",G15/G$5)</f>
        <v>N.D.</v>
      </c>
      <c r="I15" s="8">
        <f>BDER!$C188/1000+ajustes!E8</f>
        <v>0</v>
      </c>
      <c r="J15" s="220" t="str">
        <f>IF(I$5=0,"N.D.",I15/I$5)</f>
        <v>N.D.</v>
      </c>
      <c r="K15" s="204">
        <f>SUM(C15,E15,G15,I15)</f>
        <v>0</v>
      </c>
      <c r="L15" s="220" t="str">
        <f>IF(K$5=0,"N.D.",K15/K$5)</f>
        <v>N.D.</v>
      </c>
      <c r="N15" s="7" t="s">
        <v>36</v>
      </c>
      <c r="O15" s="198">
        <f>BDER!$C$12/1000+ajustes!F8</f>
        <v>26.30068</v>
      </c>
      <c r="P15" s="220">
        <f>IF(O$5=0,"N.D.",O15/O$5)</f>
        <v>0.0008909409657908</v>
      </c>
      <c r="Q15" s="11">
        <f>BDER!$C$34/1000+ajustes!G8</f>
        <v>140.81406</v>
      </c>
      <c r="R15" s="220">
        <f>IF(Q$5=0,"N.D.",Q15/Q$5)</f>
        <v>0.02247391622987</v>
      </c>
      <c r="S15" s="30">
        <f>BDER!$C$56/1000+ajustes!H8</f>
        <v>1.51942</v>
      </c>
      <c r="T15" s="220">
        <f>IF(S$5=0,"N.D.",S15/S$5)</f>
        <v>5.4518059651213E-5</v>
      </c>
      <c r="U15" s="11">
        <f>BDER!$C$78/1000+ajustes!I8</f>
        <v>-2.19196</v>
      </c>
      <c r="V15" s="220">
        <f>IF(U$5=0,"N.D.",U15/U$5)</f>
        <v>-0.0006345680281991</v>
      </c>
      <c r="W15" s="30">
        <f>BDER!$C$100/1000+ajustes!J8</f>
        <v>0.01202</v>
      </c>
      <c r="X15" s="220">
        <f>IF(W$5=0,"N.D.",W15/W$5)</f>
        <v>3.6885920012177E-5</v>
      </c>
      <c r="Y15" s="11">
        <f>BDER!$C$122/1000+ajustes!K8</f>
        <v>-0.13009</v>
      </c>
      <c r="Z15" s="220">
        <f>IF(Y$5=0,"N.D.",Y15/Y$5)</f>
        <v>-0.00049265318488222</v>
      </c>
      <c r="AA15" s="206">
        <f>SUM(O15,Q15,S15,U15,W15,Y15)</f>
        <v>166.32413</v>
      </c>
      <c r="AB15" s="220">
        <f>IF(AA$5=0,"N.D.",AA15/AA$5)</f>
        <v>0.0031209524188964</v>
      </c>
      <c r="AC15" s="276"/>
      <c r="AE15" s="7" t="s">
        <v>36</v>
      </c>
      <c r="AF15" s="8">
        <f>BDER!$C298/1000+ajustes!L8</f>
        <v>-0.96553</v>
      </c>
      <c r="AG15" s="220">
        <f>IF(AF$5=0,"N.D.",AF15/AF$5)</f>
        <v>-1.8366016229198E-5</v>
      </c>
      <c r="AH15" s="8">
        <f>BDER!$C320/1000+ajustes!M8</f>
        <v>6.13</v>
      </c>
      <c r="AI15" s="220">
        <f>IF(AH$5=0,"N.D.",AH15/AH$5)</f>
        <v>0.00017728239709678</v>
      </c>
      <c r="AJ15" s="8">
        <f>BDER!$C364/1000+ajustes!N8</f>
        <v>0</v>
      </c>
      <c r="AK15" s="220">
        <f>IF(AJ$5=0,"N.D.",AJ15/AJ$5)</f>
        <v>0</v>
      </c>
      <c r="AL15" s="8">
        <f>BDER!$C342/2000+ajustes!O8</f>
        <v>0</v>
      </c>
      <c r="AM15" s="220">
        <f>IF(AL$5=0,"N.D.",AL15/AL$5)</f>
        <v>0</v>
      </c>
      <c r="AN15" s="8">
        <f>ajustes!P8</f>
        <v>0</v>
      </c>
      <c r="AO15" s="220" t="str">
        <f>IF(AN$5=0,"N.D.",AN15/AN$5)</f>
        <v>N.D.</v>
      </c>
      <c r="AP15" s="8">
        <f>BDER!$C408/1000+ajustes!Q8</f>
        <v>0</v>
      </c>
      <c r="AQ15" s="220">
        <f>IF(AP$5=0,"N.D.",AP15/AP$5)</f>
        <v>0</v>
      </c>
      <c r="AR15" s="8">
        <f>BDER!$C386/1000+ajustes!R8</f>
        <v>749.57076</v>
      </c>
      <c r="AS15" s="220">
        <f>IF(AR$5=0,"N.D.",AR15/AR$5)</f>
        <v>0.011737065674239</v>
      </c>
      <c r="AT15" s="8">
        <f>SUM(AF15,AH15,AJ15,AL15,AN15,AP15,AR15)</f>
        <v>754.73523</v>
      </c>
      <c r="AU15" s="220">
        <f>IF(AT$5=0,"N.D.",AT15/AT$5)</f>
        <v>0.0043748890699555</v>
      </c>
      <c r="AX15" s="7" t="s">
        <v>36</v>
      </c>
      <c r="AY15" s="8">
        <f>BDER!$C452/1000+ajustes!S8</f>
        <v>17.21902</v>
      </c>
      <c r="AZ15" s="220">
        <f>IF(AY$5=0,"N.D.",AY15/AY$5)</f>
        <v>0.0027503023827695</v>
      </c>
      <c r="BA15" s="204">
        <f>BDER!$C430/1000+ajustes!T8</f>
        <v>0</v>
      </c>
      <c r="BB15" s="220">
        <f>IF(BA$5=0,"N.D.",BA15/BA$5)</f>
        <v>0</v>
      </c>
      <c r="BC15" s="204">
        <f>SUM(AY15,BA15)</f>
        <v>17.21902</v>
      </c>
      <c r="BD15" s="220">
        <f>IF(BC$5=0,"N.D.",BC15/BC$5)</f>
        <v>0.0023247238805296</v>
      </c>
      <c r="BE15" s="187"/>
      <c r="BG15" s="7" t="s">
        <v>111</v>
      </c>
      <c r="BH15" s="194">
        <f>BDER!$C476/1000+ajustes!V9</f>
        <v>-1.12845</v>
      </c>
      <c r="BI15" s="220">
        <f>IF(BH$5=0,"N.D.",BH15/BH$5)</f>
        <v>-0.0036347328753979</v>
      </c>
      <c r="BJ15" s="8">
        <f>BDER!$C499/1000+ajustes!W9</f>
        <v>-4.1493</v>
      </c>
      <c r="BK15" s="220">
        <f>IF(BJ$5=0,"N.D.",BJ15/BJ$5)</f>
        <v>-0.0068546814956954</v>
      </c>
      <c r="BL15" s="195">
        <f>BDER!$C566/1000+ajustes!X9</f>
        <v>-2.40617</v>
      </c>
      <c r="BM15" s="220">
        <f>IF(BL$5=0,"N.D.",BL15/BL$5)</f>
        <v>-0.0087511780159171</v>
      </c>
      <c r="BN15" s="8">
        <f>BDER!$C611/1000+ajustes!Y9</f>
        <v>-2.44935</v>
      </c>
      <c r="BO15" s="220">
        <f>IF(BN$5=0,"N.D.",BN15/BN$5)</f>
        <v>-0.0063555647538208</v>
      </c>
      <c r="BP15" s="204">
        <f>SUM(BH15,BJ15,BL15,BN15)</f>
        <v>-10.13327</v>
      </c>
      <c r="BQ15" s="220">
        <f>IF(BP$5=0,"N.D.",BP15/BP$5)</f>
        <v>-0.0064292216345024</v>
      </c>
      <c r="BU15" s="7" t="s">
        <v>111</v>
      </c>
      <c r="BV15" s="194">
        <f>BDER!$C521/1000+ajustes!Z9</f>
        <v>0</v>
      </c>
      <c r="BW15" s="220">
        <f>IF(BV$5=0,"N.D.",BV15/BV$5)</f>
        <v>0</v>
      </c>
      <c r="BX15" s="8">
        <f>BDER!$C588/1000+ajustes!AA9</f>
        <v>0</v>
      </c>
      <c r="BY15" s="220">
        <f>IF(BX$5=0,"N.D.",BX15/BX$5)</f>
        <v>0</v>
      </c>
      <c r="BZ15" s="195">
        <f>BDER!$C633/1000+ajustes!AB9</f>
        <v>0</v>
      </c>
      <c r="CA15" s="220">
        <f>IF(BZ$5=0,"N.D.",BZ15/BZ$5)</f>
        <v>0</v>
      </c>
      <c r="CB15" s="8">
        <f>BDER!$C543/1000+ajustes!AC9</f>
        <v>0</v>
      </c>
      <c r="CC15" s="220">
        <f>IF(CB$5=0,"N.D.",CB15/CB$5)</f>
        <v>0</v>
      </c>
      <c r="CD15" s="204">
        <f>BDER!$C655/1000+ajustes!AD9</f>
        <v>0</v>
      </c>
      <c r="CE15" s="220">
        <f>IF(CD$5=0,"N.D.",CD15/CD$5)</f>
        <v>0</v>
      </c>
      <c r="CF15" s="204">
        <f>SUM(BV15,BX15,BZ15,CB15,CD15)</f>
        <v>0</v>
      </c>
      <c r="CG15" s="220">
        <f>IF(CF$5=0,"N.D.",CF15/CF$5)</f>
        <v>0</v>
      </c>
    </row>
    <row r="16" spans="1:85">
      <c r="B16" s="7" t="s">
        <v>38</v>
      </c>
      <c r="C16" s="198">
        <f>BDER!$C167/1000+ajustes!B9</f>
        <v>0</v>
      </c>
      <c r="D16" s="219" t="str">
        <f>IF(C$5=0,"N.D.",C16/C$5)</f>
        <v>N.D.</v>
      </c>
      <c r="E16" s="11">
        <f>BDER!$C145/1000+ajustes!C9</f>
        <v>0</v>
      </c>
      <c r="F16" s="219" t="str">
        <f>IF(E$5=0,"N.D.",E16/E$5)</f>
        <v>N.D.</v>
      </c>
      <c r="G16" s="30">
        <f>BDER!$C211/1000+ajustes!D9</f>
        <v>0</v>
      </c>
      <c r="H16" s="219" t="str">
        <f>IF(G$5=0,"N.D.",G16/G$5)</f>
        <v>N.D.</v>
      </c>
      <c r="I16" s="11">
        <f>BDER!$C189/1000+ajustes!E9</f>
        <v>0</v>
      </c>
      <c r="J16" s="219" t="str">
        <f>IF(I$5=0,"N.D.",I16/I$5)</f>
        <v>N.D.</v>
      </c>
      <c r="K16" s="206">
        <f>SUM(C16,E16,G16,I16)</f>
        <v>0</v>
      </c>
      <c r="L16" s="219" t="str">
        <f>IF(K$5=0,"N.D.",K16/K$5)</f>
        <v>N.D.</v>
      </c>
      <c r="N16" s="7" t="s">
        <v>38</v>
      </c>
      <c r="O16" s="198">
        <f>BDER!$C$13/1000+ajustes!F9</f>
        <v>-263.6498</v>
      </c>
      <c r="P16" s="219">
        <f>IF(O$5=0,"N.D.",O16/O$5)</f>
        <v>-0.0089311914156801</v>
      </c>
      <c r="Q16" s="11">
        <f>BDER!$C$35/1000+ajustes!G9</f>
        <v>16.52196</v>
      </c>
      <c r="R16" s="219">
        <f>IF(Q$5=0,"N.D.",Q16/Q$5)</f>
        <v>0.0026369039071331</v>
      </c>
      <c r="S16" s="30">
        <f>BDER!$C$57/1000+ajustes!H9</f>
        <v>2</v>
      </c>
      <c r="T16" s="219">
        <f>IF(S$5=0,"N.D.",S16/S$5)</f>
        <v>7.1761671757925E-5</v>
      </c>
      <c r="U16" s="11">
        <f>BDER!$C$79/1000+ajustes!I9</f>
        <v>0</v>
      </c>
      <c r="V16" s="219">
        <f>IF(U$5=0,"N.D.",U16/U$5)</f>
        <v>0</v>
      </c>
      <c r="W16" s="30">
        <f>BDER!$C$101/1000+ajustes!J9</f>
        <v>-5.59584</v>
      </c>
      <c r="X16" s="219">
        <f>IF(W$5=0,"N.D.",W16/W$5)</f>
        <v>-0.017172022183106</v>
      </c>
      <c r="Y16" s="11">
        <f>BDER!$C$123/1000+ajustes!K9</f>
        <v>0</v>
      </c>
      <c r="Z16" s="219">
        <f>IF(Y$5=0,"N.D.",Y16/Y$5)</f>
        <v>0</v>
      </c>
      <c r="AA16" s="206">
        <f>SUM(O16,Q16,S16,U16,W16,Y16)</f>
        <v>-250.72368</v>
      </c>
      <c r="AB16" s="219">
        <f>IF(AA$5=0,"N.D.",AA16/AA$5)</f>
        <v>-0.0047046491424342</v>
      </c>
      <c r="AC16" s="276"/>
      <c r="AE16" s="7" t="s">
        <v>38</v>
      </c>
      <c r="AF16" s="11">
        <f>BDER!$C299/1000+ajustes!L9</f>
        <v>-628.07591</v>
      </c>
      <c r="AG16" s="219">
        <f>IF(AF$5=0,"N.D.",AF16/AF$5)</f>
        <v>-0.011947067782698</v>
      </c>
      <c r="AH16" s="11">
        <f>BDER!$C321/1000+ajustes!M9</f>
        <v>-285.52611</v>
      </c>
      <c r="AI16" s="219">
        <f>IF(AH$5=0,"N.D.",AH16/AH$5)</f>
        <v>-0.0082575453857288</v>
      </c>
      <c r="AJ16" s="11">
        <f>BDER!$C365/1000+ajustes!N9</f>
        <v>-335.98178</v>
      </c>
      <c r="AK16" s="219">
        <f>IF(AJ$5=0,"N.D.",AJ16/AJ$5)</f>
        <v>-0.047619622716567</v>
      </c>
      <c r="AL16" s="11">
        <f>BDER!$C343/2000+ajustes!O9</f>
        <v>0</v>
      </c>
      <c r="AM16" s="219">
        <f>IF(AL$5=0,"N.D.",AL16/AL$5)</f>
        <v>0</v>
      </c>
      <c r="AN16" s="11">
        <f>ajustes!P9</f>
        <v>0</v>
      </c>
      <c r="AO16" s="219" t="str">
        <f>IF(AN$5=0,"N.D.",AN16/AN$5)</f>
        <v>N.D.</v>
      </c>
      <c r="AP16" s="11">
        <f>BDER!$C409/1000+ajustes!Q9</f>
        <v>-12.93192</v>
      </c>
      <c r="AQ16" s="219">
        <f>IF(AP$5=0,"N.D.",AP16/AP$5)</f>
        <v>-0.0025396284198598</v>
      </c>
      <c r="AR16" s="11">
        <f>BDER!$C387/1000+ajustes!R9</f>
        <v>-103.37169</v>
      </c>
      <c r="AS16" s="219">
        <f>IF(AR$5=0,"N.D.",AR16/AR$5)</f>
        <v>-0.0016186334621525</v>
      </c>
      <c r="AT16" s="11">
        <f>SUM(AF16,AH16,AJ16,AL16,AN16,AP16,AR16)</f>
        <v>-1365.88741</v>
      </c>
      <c r="AU16" s="219">
        <f>IF(AT$5=0,"N.D.",AT16/AT$5)</f>
        <v>-0.0079174863757172</v>
      </c>
      <c r="AX16" s="7" t="s">
        <v>38</v>
      </c>
      <c r="AY16" s="11">
        <f>BDER!$C453/1000+ajustes!S9</f>
        <v>0</v>
      </c>
      <c r="AZ16" s="219">
        <f>IF(AY$5=0,"N.D.",AY16/AY$5)</f>
        <v>0</v>
      </c>
      <c r="BA16" s="206">
        <f>BDER!$C431/1000+ajustes!T9</f>
        <v>-8.27559</v>
      </c>
      <c r="BB16" s="219">
        <f>IF(BA$5=0,"N.D.",BA16/BA$5)</f>
        <v>-0.0072204235803146</v>
      </c>
      <c r="BC16" s="206">
        <f>SUM(AY16,BA16)</f>
        <v>-8.27559</v>
      </c>
      <c r="BD16" s="219">
        <f>IF(BC$5=0,"N.D.",BC16/BC$5)</f>
        <v>-0.0011172797115325</v>
      </c>
      <c r="BE16" s="187"/>
      <c r="BG16" s="7" t="s">
        <v>112</v>
      </c>
      <c r="BH16" s="198">
        <f>BDER!$C477/1000+ajustes!V10</f>
        <v>0</v>
      </c>
      <c r="BI16" s="219">
        <f>IF(BH$5=0,"N.D.",BH16/BH$5)</f>
        <v>0</v>
      </c>
      <c r="BJ16" s="11">
        <f>BDER!$C500/1000+ajustes!W10</f>
        <v>0</v>
      </c>
      <c r="BK16" s="219">
        <f>IF(BJ$5=0,"N.D.",BJ16/BJ$5)</f>
        <v>0</v>
      </c>
      <c r="BL16" s="30">
        <f>BDER!$C567/1000+ajustes!X10</f>
        <v>0</v>
      </c>
      <c r="BM16" s="219">
        <f>IF(BL$5=0,"N.D.",BL16/BL$5)</f>
        <v>0</v>
      </c>
      <c r="BN16" s="11">
        <f>BDER!$C612/1000+ajustes!Y10</f>
        <v>0</v>
      </c>
      <c r="BO16" s="219">
        <f>IF(BN$5=0,"N.D.",BN16/BN$5)</f>
        <v>0</v>
      </c>
      <c r="BP16" s="206">
        <f>SUM(BH16,BJ16,BL16,BN16)</f>
        <v>0</v>
      </c>
      <c r="BQ16" s="219">
        <f>IF(BP$5=0,"N.D.",BP16/BP$5)</f>
        <v>0</v>
      </c>
      <c r="BU16" s="7" t="s">
        <v>112</v>
      </c>
      <c r="BV16" s="198">
        <f>BDER!$C522/1000+ajustes!Z10</f>
        <v>5.05956</v>
      </c>
      <c r="BW16" s="219">
        <f>IF(BV$5=0,"N.D.",BV16/BV$5)</f>
        <v>0.11412655479938</v>
      </c>
      <c r="BX16" s="11">
        <f>BDER!$C589/1000+ajustes!AA10</f>
        <v>2.53737</v>
      </c>
      <c r="BY16" s="219">
        <f>IF(BX$5=0,"N.D.",BX16/BX$5)</f>
        <v>0.084990951140176</v>
      </c>
      <c r="BZ16" s="30">
        <f>BDER!$C634/1000+ajustes!AB10</f>
        <v>1.3479</v>
      </c>
      <c r="CA16" s="219">
        <f>IF(BZ$5=0,"N.D.",BZ16/BZ$5)</f>
        <v>0.067448014139113</v>
      </c>
      <c r="CB16" s="11">
        <f>BDER!$C544/1000+ajustes!AC10</f>
        <v>0</v>
      </c>
      <c r="CC16" s="219">
        <f>IF(CB$5=0,"N.D.",CB16/CB$5)</f>
        <v>0</v>
      </c>
      <c r="CD16" s="206">
        <f>BDER!$C656/1000+ajustes!AD10</f>
        <v>2.91521</v>
      </c>
      <c r="CE16" s="219">
        <f>IF(CD$5=0,"N.D.",CD16/CD$5)</f>
        <v>0.56245610650203</v>
      </c>
      <c r="CF16" s="206">
        <f>SUM(BV16,BX16,BZ16,CB16,CD16)</f>
        <v>11.86004</v>
      </c>
      <c r="CG16" s="219">
        <f>IF(CF$5=0,"N.D.",CF16/CF$5)</f>
        <v>0.1150368349419</v>
      </c>
    </row>
    <row r="17" spans="1:85">
      <c r="B17" s="7" t="s">
        <v>39</v>
      </c>
      <c r="C17" s="198">
        <f>BDER!$C168/1000+ajustes!B10</f>
        <v>0</v>
      </c>
      <c r="D17" s="219" t="str">
        <f>IF(C$5=0,"N.D.",C17/C$5)</f>
        <v>N.D.</v>
      </c>
      <c r="E17" s="11">
        <f>BDER!$C146/1000+ajustes!C10</f>
        <v>0</v>
      </c>
      <c r="F17" s="219" t="str">
        <f>IF(E$5=0,"N.D.",E17/E$5)</f>
        <v>N.D.</v>
      </c>
      <c r="G17" s="30">
        <f>BDER!$C212/1000+ajustes!D10</f>
        <v>0</v>
      </c>
      <c r="H17" s="219" t="str">
        <f>IF(G$5=0,"N.D.",G17/G$5)</f>
        <v>N.D.</v>
      </c>
      <c r="I17" s="11">
        <f>BDER!$C190/1000+ajustes!E10</f>
        <v>0</v>
      </c>
      <c r="J17" s="219" t="str">
        <f>IF(I$5=0,"N.D.",I17/I$5)</f>
        <v>N.D.</v>
      </c>
      <c r="K17" s="206">
        <f>SUM(C17,E17,G17,I17)</f>
        <v>0</v>
      </c>
      <c r="L17" s="219" t="str">
        <f>IF(K$5=0,"N.D.",K17/K$5)</f>
        <v>N.D.</v>
      </c>
      <c r="N17" s="7" t="s">
        <v>39</v>
      </c>
      <c r="O17" s="198">
        <f>BDER!$C$14/1000+ajustes!F10</f>
        <v>713.41355</v>
      </c>
      <c r="P17" s="219">
        <f>IF(O$5=0,"N.D.",O17/O$5)</f>
        <v>0.024167031318021</v>
      </c>
      <c r="Q17" s="11">
        <f>BDER!$C$36/1000+ajustes!G10</f>
        <v>1.0768</v>
      </c>
      <c r="R17" s="219">
        <f>IF(Q$5=0,"N.D.",Q17/Q$5)</f>
        <v>0.00017185722076563</v>
      </c>
      <c r="S17" s="30">
        <f>BDER!$C$58/1000+ajustes!H10</f>
        <v>187.72045</v>
      </c>
      <c r="T17" s="219">
        <f>IF(S$5=0,"N.D.",S17/S$5)</f>
        <v>0.006735566657575</v>
      </c>
      <c r="U17" s="11">
        <f>BDER!$C$80/1000+ajustes!I10</f>
        <v>4.55941</v>
      </c>
      <c r="V17" s="219">
        <f>IF(U$5=0,"N.D.",U17/U$5)</f>
        <v>0.0013199400597872</v>
      </c>
      <c r="W17" s="30">
        <f>BDER!$C$102/1000+ajustes!J10</f>
        <v>0.86777</v>
      </c>
      <c r="X17" s="219">
        <f>IF(W$5=0,"N.D.",W17/W$5)</f>
        <v>0.0026629363401802</v>
      </c>
      <c r="Y17" s="11">
        <f>BDER!$C$124/1000+ajustes!K10</f>
        <v>1.53425</v>
      </c>
      <c r="Z17" s="219">
        <f>IF(Y$5=0,"N.D.",Y17/Y$5)</f>
        <v>0.0058102325229115</v>
      </c>
      <c r="AA17" s="206">
        <f>SUM(O17,Q17,S17,U17,W17,Y17)</f>
        <v>909.17223</v>
      </c>
      <c r="AB17" s="219">
        <f>IF(AA$5=0,"N.D.",AA17/AA$5)</f>
        <v>0.017059961596745</v>
      </c>
      <c r="AC17" s="276"/>
      <c r="AE17" s="7" t="s">
        <v>39</v>
      </c>
      <c r="AF17" s="11">
        <f>BDER!$C300/1000+ajustes!L10</f>
        <v>0.02286</v>
      </c>
      <c r="AG17" s="219">
        <f>IF(AF$5=0,"N.D.",AF17/AF$5)</f>
        <v>4.3483592534615E-7</v>
      </c>
      <c r="AH17" s="11">
        <f>BDER!$C322/1000+ajustes!M10</f>
        <v>0.78415</v>
      </c>
      <c r="AI17" s="219">
        <f>IF(AH$5=0,"N.D.",AH17/AH$5)</f>
        <v>2.2677975804802E-5</v>
      </c>
      <c r="AJ17" s="11">
        <f>BDER!$C366/1000+ajustes!N10</f>
        <v>0</v>
      </c>
      <c r="AK17" s="219">
        <f>IF(AJ$5=0,"N.D.",AJ17/AJ$5)</f>
        <v>0</v>
      </c>
      <c r="AL17" s="11">
        <f>BDER!$C344/2000+ajustes!O10</f>
        <v>15.36775</v>
      </c>
      <c r="AM17" s="219">
        <f>IF(AL$5=0,"N.D.",AL17/AL$5)</f>
        <v>0.0016427331484717</v>
      </c>
      <c r="AN17" s="11">
        <f>ajustes!P10</f>
        <v>0</v>
      </c>
      <c r="AO17" s="219" t="str">
        <f>IF(AN$5=0,"N.D.",AN17/AN$5)</f>
        <v>N.D.</v>
      </c>
      <c r="AP17" s="11">
        <f>BDER!$C410/1000+ajustes!Q10</f>
        <v>0</v>
      </c>
      <c r="AQ17" s="219">
        <f>IF(AP$5=0,"N.D.",AP17/AP$5)</f>
        <v>0</v>
      </c>
      <c r="AR17" s="11">
        <f>BDER!$C388/1000+ajustes!R10</f>
        <v>188.6404</v>
      </c>
      <c r="AS17" s="219">
        <f>IF(AR$5=0,"N.D.",AR17/AR$5)</f>
        <v>0.0029538035389945</v>
      </c>
      <c r="AT17" s="11">
        <f>SUM(AF17,AH17,AJ17,AL17,AN17,AP17,AR17)</f>
        <v>204.81516</v>
      </c>
      <c r="AU17" s="219">
        <f>IF(AT$5=0,"N.D.",AT17/AT$5)</f>
        <v>0.0011872290695178</v>
      </c>
      <c r="AX17" s="7" t="s">
        <v>39</v>
      </c>
      <c r="AY17" s="11">
        <f>BDER!$C454/1000+ajustes!S10</f>
        <v>2.88239</v>
      </c>
      <c r="AZ17" s="219">
        <f>IF(AY$5=0,"N.D.",AY17/AY$5)</f>
        <v>0.00046038880755531</v>
      </c>
      <c r="BA17" s="206">
        <f>BDER!$C432/1000+ajustes!T10</f>
        <v>1.40912</v>
      </c>
      <c r="BB17" s="219">
        <f>IF(BA$5=0,"N.D.",BA17/BA$5)</f>
        <v>0.0012294523140336</v>
      </c>
      <c r="BC17" s="206">
        <f>SUM(AY17,BA17)</f>
        <v>4.29151</v>
      </c>
      <c r="BD17" s="219">
        <f>IF(BC$5=0,"N.D.",BC17/BC$5)</f>
        <v>0.00057939277499717</v>
      </c>
      <c r="BE17" s="187"/>
      <c r="BG17" s="7" t="s">
        <v>113</v>
      </c>
      <c r="BH17" s="196">
        <f>BDER!$C478/1000+ajustes!V11</f>
        <v>0</v>
      </c>
      <c r="BI17" s="219">
        <f>IF(BH$5=0,"N.D.",BH17/BH$5)</f>
        <v>0</v>
      </c>
      <c r="BJ17" s="34">
        <f>BDER!$C501/1000+ajustes!W11</f>
        <v>0</v>
      </c>
      <c r="BK17" s="219">
        <f>IF(BJ$5=0,"N.D.",BJ17/BJ$5)</f>
        <v>0</v>
      </c>
      <c r="BL17" s="197">
        <f>BDER!$C568/1000+ajustes!X11</f>
        <v>0</v>
      </c>
      <c r="BM17" s="219">
        <f>IF(BL$5=0,"N.D.",BL17/BL$5)</f>
        <v>0</v>
      </c>
      <c r="BN17" s="34">
        <f>BDER!$C613/1000+ajustes!Y11</f>
        <v>0</v>
      </c>
      <c r="BO17" s="219">
        <f>IF(BN$5=0,"N.D.",BN17/BN$5)</f>
        <v>0</v>
      </c>
      <c r="BP17" s="206">
        <f>SUM(BH17,BJ17,BL17,BN17)</f>
        <v>0</v>
      </c>
      <c r="BQ17" s="219">
        <f>IF(BP$5=0,"N.D.",BP17/BP$5)</f>
        <v>0</v>
      </c>
      <c r="BU17" s="7" t="s">
        <v>113</v>
      </c>
      <c r="BV17" s="196">
        <f>BDER!$C523/1000+ajustes!Z11</f>
        <v>0</v>
      </c>
      <c r="BW17" s="219">
        <f>IF(BV$5=0,"N.D.",BV17/BV$5)</f>
        <v>0</v>
      </c>
      <c r="BX17" s="34">
        <f>BDER!$C590/1000+ajustes!AA11</f>
        <v>0</v>
      </c>
      <c r="BY17" s="219">
        <f>IF(BX$5=0,"N.D.",BX17/BX$5)</f>
        <v>0</v>
      </c>
      <c r="BZ17" s="197">
        <f>BDER!$C635/1000+ajustes!AB11</f>
        <v>0</v>
      </c>
      <c r="CA17" s="219">
        <f>IF(BZ$5=0,"N.D.",BZ17/BZ$5)</f>
        <v>0</v>
      </c>
      <c r="CB17" s="34">
        <f>BDER!$C545/1000+ajustes!AC11</f>
        <v>0</v>
      </c>
      <c r="CC17" s="219">
        <f>IF(CB$5=0,"N.D.",CB17/CB$5)</f>
        <v>0</v>
      </c>
      <c r="CD17" s="207">
        <f>BDER!$C657/1000+ajustes!AD11</f>
        <v>0</v>
      </c>
      <c r="CE17" s="219">
        <f>IF(CD$5=0,"N.D.",CD17/CD$5)</f>
        <v>0</v>
      </c>
      <c r="CF17" s="206">
        <f>SUM(BV17,BX17,BZ17,CB17,CD17)</f>
        <v>0</v>
      </c>
      <c r="CG17" s="219">
        <f>IF(CF$5=0,"N.D.",CF17/CF$5)</f>
        <v>0</v>
      </c>
    </row>
    <row r="18" spans="1:85">
      <c r="B18" s="7" t="s">
        <v>40</v>
      </c>
      <c r="C18" s="198">
        <f>BDER!$C169/1000-BDER!$C169/1000+ajustes!B11</f>
        <v>0</v>
      </c>
      <c r="D18" s="219" t="str">
        <f>IF(C$5=0,"N.D.",C18/C$5)</f>
        <v>N.D.</v>
      </c>
      <c r="E18" s="11">
        <f>BDER!$C147/1000+ajustes!C11</f>
        <v>0</v>
      </c>
      <c r="F18" s="219" t="str">
        <f>IF(E$5=0,"N.D.",E18/E$5)</f>
        <v>N.D.</v>
      </c>
      <c r="G18" s="30">
        <f>BDER!$C213/1000+ajustes!D11</f>
        <v>0</v>
      </c>
      <c r="H18" s="219" t="str">
        <f>IF(G$5=0,"N.D.",G18/G$5)</f>
        <v>N.D.</v>
      </c>
      <c r="I18" s="11">
        <f>BDER!$C191/1000+ajustes!E11</f>
        <v>0</v>
      </c>
      <c r="J18" s="219" t="str">
        <f>IF(I$5=0,"N.D.",I18/I$5)</f>
        <v>N.D.</v>
      </c>
      <c r="K18" s="206">
        <f>SUM(C18,E18,G18,I18)</f>
        <v>0</v>
      </c>
      <c r="L18" s="219" t="str">
        <f>IF(K$5=0,"N.D.",K18/K$5)</f>
        <v>N.D.</v>
      </c>
      <c r="N18" s="7" t="s">
        <v>40</v>
      </c>
      <c r="O18" s="198">
        <f>BDER!$C$15/1000+ajustes!F11</f>
        <v>18.10625</v>
      </c>
      <c r="P18" s="219">
        <f>IF(O$5=0,"N.D.",O18/O$5)</f>
        <v>0.00061335295748435</v>
      </c>
      <c r="Q18" s="11">
        <f>BDER!$C$37/1000+ajustes!G11</f>
        <v>8.28399</v>
      </c>
      <c r="R18" s="219">
        <f>IF(Q$5=0,"N.D.",Q18/Q$5)</f>
        <v>0.0013221243483008</v>
      </c>
      <c r="S18" s="30">
        <f>BDER!$C$59/1000+ajustes!H11</f>
        <v>5.3324</v>
      </c>
      <c r="T18" s="219">
        <f>IF(S$5=0,"N.D.",S18/S$5)</f>
        <v>0.00019133096924098</v>
      </c>
      <c r="U18" s="11">
        <f>BDER!$C$81/1000+ajustes!I11</f>
        <v>0</v>
      </c>
      <c r="V18" s="219">
        <f>IF(U$5=0,"N.D.",U18/U$5)</f>
        <v>0</v>
      </c>
      <c r="W18" s="30">
        <f>BDER!$C$103/1000+ajustes!J11</f>
        <v>0</v>
      </c>
      <c r="X18" s="219">
        <f>IF(W$5=0,"N.D.",W18/W$5)</f>
        <v>0</v>
      </c>
      <c r="Y18" s="11">
        <f>BDER!$C$125/1000+ajustes!K11</f>
        <v>8.0E-5</v>
      </c>
      <c r="Z18" s="219">
        <f>IF(Y$5=0,"N.D.",Y18/Y$5)</f>
        <v>3.0296144815572E-7</v>
      </c>
      <c r="AA18" s="206">
        <f>SUM(O18,Q18,S18,U18,W18,Y18)</f>
        <v>31.72272</v>
      </c>
      <c r="AB18" s="219">
        <f>IF(AA$5=0,"N.D.",AA18/AA$5)</f>
        <v>0.00059525397618478</v>
      </c>
      <c r="AC18" s="276"/>
      <c r="AE18" s="7" t="s">
        <v>40</v>
      </c>
      <c r="AF18" s="11">
        <f>BDER!$C301/1000+ajustes!L11</f>
        <v>0.00022</v>
      </c>
      <c r="AG18" s="219">
        <f>IF(AF$5=0,"N.D.",AF18/AF$5)</f>
        <v>4.1847726848711E-9</v>
      </c>
      <c r="AH18" s="11">
        <f>BDER!$C323/1000+ajustes!M11</f>
        <v>0.05616</v>
      </c>
      <c r="AI18" s="219">
        <f>IF(AH$5=0,"N.D.",AH18/AH$5)</f>
        <v>1.6241728256044E-6</v>
      </c>
      <c r="AJ18" s="11">
        <f>BDER!$C367/1000+ajustes!N11</f>
        <v>0</v>
      </c>
      <c r="AK18" s="219">
        <f>IF(AJ$5=0,"N.D.",AJ18/AJ$5)</f>
        <v>0</v>
      </c>
      <c r="AL18" s="11">
        <f>BDER!$C345/2000+ajustes!O11</f>
        <v>65.005485</v>
      </c>
      <c r="AM18" s="219">
        <f>IF(AL$5=0,"N.D.",AL18/AL$5)</f>
        <v>0.0069487507957886</v>
      </c>
      <c r="AN18" s="11">
        <f>ajustes!P11</f>
        <v>0</v>
      </c>
      <c r="AO18" s="219" t="str">
        <f>IF(AN$5=0,"N.D.",AN18/AN$5)</f>
        <v>N.D.</v>
      </c>
      <c r="AP18" s="11">
        <f>BDER!$C411/1000+ajustes!Q11</f>
        <v>0.00497</v>
      </c>
      <c r="AQ18" s="219">
        <f>IF(AP$5=0,"N.D.",AP18/AP$5)</f>
        <v>9.7603087915043E-7</v>
      </c>
      <c r="AR18" s="11">
        <f>BDER!$C389/1000+ajustes!R11</f>
        <v>0</v>
      </c>
      <c r="AS18" s="219">
        <f>IF(AR$5=0,"N.D.",AR18/AR$5)</f>
        <v>0</v>
      </c>
      <c r="AT18" s="11">
        <f>SUM(AF18,AH18,AJ18,AL18,AN18,AP18,AR18)</f>
        <v>65.066835</v>
      </c>
      <c r="AU18" s="219">
        <f>IF(AT$5=0,"N.D.",AT18/AT$5)</f>
        <v>0.00037716562569644</v>
      </c>
      <c r="AX18" s="7" t="s">
        <v>40</v>
      </c>
      <c r="AY18" s="11">
        <f>BDER!$C455/1000+ajustes!S11</f>
        <v>372.76143</v>
      </c>
      <c r="AZ18" s="219">
        <f>IF(AY$5=0,"N.D.",AY18/AY$5)</f>
        <v>0.059539198463883</v>
      </c>
      <c r="BA18" s="206">
        <f>BDER!$C433/1000+ajustes!T11</f>
        <v>0</v>
      </c>
      <c r="BB18" s="219">
        <f>IF(BA$5=0,"N.D.",BA18/BA$5)</f>
        <v>0</v>
      </c>
      <c r="BC18" s="206">
        <f>SUM(AY18,BA18)</f>
        <v>372.76143</v>
      </c>
      <c r="BD18" s="219">
        <f>IF(BC$5=0,"N.D.",BC18/BC$5)</f>
        <v>0.050326174083158</v>
      </c>
      <c r="BE18" s="187"/>
      <c r="BG18" s="7" t="s">
        <v>114</v>
      </c>
      <c r="BH18" s="208">
        <f>BH15+BH16</f>
        <v>-1.12845</v>
      </c>
      <c r="BI18" s="22">
        <f>IF(BH$5=0,"N.D.",BH18/BH$5)</f>
        <v>-0.0036347328753979</v>
      </c>
      <c r="BJ18" s="208">
        <f>BJ15+BJ16</f>
        <v>-4.1493</v>
      </c>
      <c r="BK18" s="22">
        <f>IF(BJ$5=0,"N.D.",BJ18/BJ$5)</f>
        <v>-0.0068546814956954</v>
      </c>
      <c r="BL18" s="208">
        <f>BL15+BL16</f>
        <v>-2.40617</v>
      </c>
      <c r="BM18" s="22">
        <f>IF(BL$5=0,"N.D.",BL18/BL$5)</f>
        <v>-0.0087511780159171</v>
      </c>
      <c r="BN18" s="208">
        <f>BN15+BN16</f>
        <v>-2.44935</v>
      </c>
      <c r="BO18" s="22">
        <f>IF(BN$5=0,"N.D.",BN18/BN$5)</f>
        <v>-0.0063555647538208</v>
      </c>
      <c r="BP18" s="14">
        <f>BP15+BP16</f>
        <v>-10.13327</v>
      </c>
      <c r="BQ18" s="22">
        <f>IF(BP$5=0,"N.D.",BP18/BP$5)</f>
        <v>-0.0064292216345024</v>
      </c>
      <c r="BU18" s="7" t="s">
        <v>114</v>
      </c>
      <c r="BV18" s="208">
        <f>BV15+BV16</f>
        <v>5.05956</v>
      </c>
      <c r="BW18" s="22">
        <f>IF(BV$5=0,"N.D.",BV18/BV$5)</f>
        <v>0.11412655479938</v>
      </c>
      <c r="BX18" s="208">
        <f>BX15+BX16</f>
        <v>2.53737</v>
      </c>
      <c r="BY18" s="22">
        <f>IF(BX$5=0,"N.D.",BX18/BX$5)</f>
        <v>0.084990951140176</v>
      </c>
      <c r="BZ18" s="208">
        <f>BZ15+BZ16</f>
        <v>1.3479</v>
      </c>
      <c r="CA18" s="22">
        <f>IF(BZ$5=0,"N.D.",BZ18/BZ$5)</f>
        <v>0.067448014139113</v>
      </c>
      <c r="CB18" s="208">
        <f>CB15+CB16</f>
        <v>0</v>
      </c>
      <c r="CC18" s="22">
        <f>IF(CB$5=0,"N.D.",CB18/CB$5)</f>
        <v>0</v>
      </c>
      <c r="CD18" s="208">
        <f>CD15+CD16</f>
        <v>2.91521</v>
      </c>
      <c r="CE18" s="22">
        <f>IF(CD$5=0,"N.D.",CD18/CD$5)</f>
        <v>0.56245610650203</v>
      </c>
      <c r="CF18" s="14">
        <f>CF15+CF16</f>
        <v>11.86004</v>
      </c>
      <c r="CG18" s="22">
        <f>IF(CF$5=0,"N.D.",CF18/CF$5)</f>
        <v>0.1150368349419</v>
      </c>
    </row>
    <row r="19" spans="1:85">
      <c r="B19" s="7" t="s">
        <v>115</v>
      </c>
      <c r="C19" s="196">
        <f>BDER!$C170/1000+ajustes!B12</f>
        <v>0</v>
      </c>
      <c r="D19" s="219" t="str">
        <f>IF(C$5=0,"N.D.",C19/C$5)</f>
        <v>N.D.</v>
      </c>
      <c r="E19" s="34">
        <f>BDER!$C148/1000+ajustes!C12</f>
        <v>0</v>
      </c>
      <c r="F19" s="219" t="str">
        <f>IF(E$5=0,"N.D.",E19/E$5)</f>
        <v>N.D.</v>
      </c>
      <c r="G19" s="197">
        <f>BDER!$C214/1000+ajustes!D12</f>
        <v>0</v>
      </c>
      <c r="H19" s="219" t="str">
        <f>IF(G$5=0,"N.D.",G19/G$5)</f>
        <v>N.D.</v>
      </c>
      <c r="I19" s="34">
        <f>BDER!$C192/1000+ajustes!E12</f>
        <v>0</v>
      </c>
      <c r="J19" s="219" t="str">
        <f>IF(I$5=0,"N.D.",I19/I$5)</f>
        <v>N.D.</v>
      </c>
      <c r="K19" s="207">
        <f>SUM(C19,E19,G19,I19)</f>
        <v>0</v>
      </c>
      <c r="L19" s="219" t="str">
        <f>IF(K$5=0,"N.D.",K19/K$5)</f>
        <v>N.D.</v>
      </c>
      <c r="N19" s="7" t="s">
        <v>115</v>
      </c>
      <c r="O19" s="196">
        <f>BDER!$C16/1000+ajustes!F12</f>
        <v>0</v>
      </c>
      <c r="P19" s="219">
        <f>IF(O$5=0,"N.D.",O19/O$5)</f>
        <v>0</v>
      </c>
      <c r="Q19" s="34">
        <f>BDER!$C38/1000+ajustes!G12</f>
        <v>0</v>
      </c>
      <c r="R19" s="219">
        <f>IF(Q$5=0,"N.D.",Q19/Q$5)</f>
        <v>0</v>
      </c>
      <c r="S19" s="197">
        <f>BDER!$C60/1000+ajustes!H12</f>
        <v>0</v>
      </c>
      <c r="T19" s="219">
        <f>IF(S$5=0,"N.D.",S19/S$5)</f>
        <v>0</v>
      </c>
      <c r="U19" s="34">
        <f>BDER!$C82/1000+ajustes!I12</f>
        <v>0</v>
      </c>
      <c r="V19" s="219">
        <f>IF(U$5=0,"N.D.",U19/U$5)</f>
        <v>0</v>
      </c>
      <c r="W19" s="197">
        <f>BDER!$C104/1000+ajustes!J12</f>
        <v>0</v>
      </c>
      <c r="X19" s="219">
        <f>IF(W$5=0,"N.D.",W19/W$5)</f>
        <v>0</v>
      </c>
      <c r="Y19" s="34">
        <f>BDER!$C126/1000+ajustes!K12</f>
        <v>0</v>
      </c>
      <c r="Z19" s="219">
        <f>IF(Y$5=0,"N.D.",Y19/Y$5)</f>
        <v>0</v>
      </c>
      <c r="AA19" s="207">
        <f>SUM(O19,Q19,S19,U19,W19,Y19)</f>
        <v>0</v>
      </c>
      <c r="AB19" s="219">
        <f>IF(AA$5=0,"N.D.",AA19/AA$5)</f>
        <v>0</v>
      </c>
      <c r="AC19" s="276"/>
      <c r="AE19" s="7" t="s">
        <v>115</v>
      </c>
      <c r="AF19" s="11">
        <f>BDER!$C302/1000+ajustes!L12</f>
        <v>0</v>
      </c>
      <c r="AG19" s="219">
        <f>IF(AF$5=0,"N.D.",AF19/AF$5)</f>
        <v>0</v>
      </c>
      <c r="AH19" s="11">
        <f>BDER!$C324/1000+ajustes!M12</f>
        <v>0</v>
      </c>
      <c r="AI19" s="219">
        <f>IF(AH$5=0,"N.D.",AH19/AH$5)</f>
        <v>0</v>
      </c>
      <c r="AJ19" s="11">
        <f>BDER!$C368/1000+ajustes!N12</f>
        <v>0</v>
      </c>
      <c r="AK19" s="219">
        <f>IF(AJ$5=0,"N.D.",AJ19/AJ$5)</f>
        <v>0</v>
      </c>
      <c r="AL19" s="11">
        <f>BDER!$C346/2000+ajustes!O12</f>
        <v>0</v>
      </c>
      <c r="AM19" s="219">
        <f>IF(AL$5=0,"N.D.",AL19/AL$5)</f>
        <v>0</v>
      </c>
      <c r="AN19" s="11">
        <f>ajustes!P12</f>
        <v>0</v>
      </c>
      <c r="AO19" s="219" t="str">
        <f>IF(AN$5=0,"N.D.",AN19/AN$5)</f>
        <v>N.D.</v>
      </c>
      <c r="AP19" s="11">
        <f>BDER!$C412/1000+ajustes!Q12</f>
        <v>0</v>
      </c>
      <c r="AQ19" s="219">
        <f>IF(AP$5=0,"N.D.",AP19/AP$5)</f>
        <v>0</v>
      </c>
      <c r="AR19" s="11">
        <f>BDER!$C390/1000+ajustes!R12</f>
        <v>0</v>
      </c>
      <c r="AS19" s="219">
        <f>IF(AR$5=0,"N.D.",AR19/AR$5)</f>
        <v>0</v>
      </c>
      <c r="AT19" s="11">
        <f>SUM(AF19,AH19,AJ19,AL19,AN19,AP19,AR19)</f>
        <v>0</v>
      </c>
      <c r="AU19" s="219">
        <f>IF(AT$5=0,"N.D.",AT19/AT$5)</f>
        <v>0</v>
      </c>
      <c r="AX19" s="7" t="s">
        <v>115</v>
      </c>
      <c r="AY19" s="34">
        <f>BDER!$C456/1000+ajustes!S12</f>
        <v>0</v>
      </c>
      <c r="AZ19" s="219">
        <f>IF(AY$5=0,"N.D.",AY19/AY$5)</f>
        <v>0</v>
      </c>
      <c r="BA19" s="207">
        <f>BDER!$C434/1000+ajustes!T12</f>
        <v>0</v>
      </c>
      <c r="BB19" s="219">
        <f>IF(BA$5=0,"N.D.",BA19/BA$5)</f>
        <v>0</v>
      </c>
      <c r="BC19" s="206">
        <f>SUM(AY19,BA19)</f>
        <v>0</v>
      </c>
      <c r="BD19" s="219">
        <f>IF(BC$5=0,"N.D.",BC19/BC$5)</f>
        <v>0</v>
      </c>
      <c r="BE19" s="187"/>
      <c r="BG19" s="7" t="s">
        <v>116</v>
      </c>
      <c r="BH19" s="14">
        <f>BH13-BH18</f>
        <v>15.54709</v>
      </c>
      <c r="BI19" s="22">
        <f>IF(BH$5=0,"N.D.",BH19/BH$5)</f>
        <v>0.050077113863946</v>
      </c>
      <c r="BJ19" s="14">
        <f>BJ13-BJ18</f>
        <v>23.13052</v>
      </c>
      <c r="BK19" s="22">
        <f>IF(BJ$5=0,"N.D.",BJ19/BJ$5)</f>
        <v>0.038211830291811</v>
      </c>
      <c r="BL19" s="14">
        <f>BL13-BL18</f>
        <v>33.29723</v>
      </c>
      <c r="BM19" s="22">
        <f>IF(BL$5=0,"N.D.",BL19/BL$5)</f>
        <v>0.12110116374443</v>
      </c>
      <c r="BN19" s="14">
        <f>BN13-BN18</f>
        <v>27.25808</v>
      </c>
      <c r="BO19" s="22">
        <f>IF(BN$5=0,"N.D.",BN19/BN$5)</f>
        <v>0.070729169985844</v>
      </c>
      <c r="BP19" s="14">
        <f>BP13-BP18</f>
        <v>99.23292</v>
      </c>
      <c r="BQ19" s="22">
        <f>IF(BP$5=0,"N.D.",BP19/BP$5)</f>
        <v>0.062959976011578</v>
      </c>
      <c r="BU19" s="7" t="s">
        <v>116</v>
      </c>
      <c r="BV19" s="14">
        <f>BV13-BV18</f>
        <v>7.54703</v>
      </c>
      <c r="BW19" s="22">
        <f>IF(BV$5=0,"N.D.",BV19/BV$5)</f>
        <v>0.17023546175311</v>
      </c>
      <c r="BX19" s="14">
        <f>BX13-BX18</f>
        <v>15.43337</v>
      </c>
      <c r="BY19" s="22">
        <f>IF(BX$5=0,"N.D.",BX19/BX$5)</f>
        <v>0.51695132976202</v>
      </c>
      <c r="BZ19" s="14">
        <f>BZ13-BZ18</f>
        <v>14.30084</v>
      </c>
      <c r="CA19" s="22">
        <f>IF(BZ$5=0,"N.D.",BZ19/BZ$5)</f>
        <v>0.71560446510958</v>
      </c>
      <c r="CB19" s="14">
        <f>CB13-CB18</f>
        <v>-0.05824</v>
      </c>
      <c r="CC19" s="22">
        <f>IF(CB$5=0,"N.D.",CB19/CB$5)</f>
        <v>-0.015559711461395</v>
      </c>
      <c r="CD19" s="14">
        <f>CD13-CD18</f>
        <v>2.2444</v>
      </c>
      <c r="CE19" s="22">
        <f>IF(CD$5=0,"N.D.",CD19/CD$5)</f>
        <v>0.43303106309087</v>
      </c>
      <c r="CF19" s="14">
        <f>CF13-CF18</f>
        <v>39.4674</v>
      </c>
      <c r="CG19" s="22">
        <f>IF(CF$5=0,"N.D.",CF19/CF$5)</f>
        <v>0.3828153007398</v>
      </c>
    </row>
    <row r="20" spans="1:85">
      <c r="B20" s="4" t="s">
        <v>41</v>
      </c>
      <c r="C20" s="216">
        <f>C15+C16+C17-C18</f>
        <v>0</v>
      </c>
      <c r="D20" s="22" t="str">
        <f>IF(C$5=0,"N.D.",C20/C$5)</f>
        <v>N.D.</v>
      </c>
      <c r="E20" s="202">
        <f>E15+E16+E17-E18</f>
        <v>0</v>
      </c>
      <c r="F20" s="22" t="str">
        <f>IF(E$5=0,"N.D.",E20/E$5)</f>
        <v>N.D.</v>
      </c>
      <c r="G20" s="208">
        <f>G15+G16+G17-G18</f>
        <v>0</v>
      </c>
      <c r="H20" s="22" t="str">
        <f>IF(G$5=0,"N.D.",G20/G$5)</f>
        <v>N.D.</v>
      </c>
      <c r="I20" s="202">
        <f>I15+I16+I17-I18</f>
        <v>0</v>
      </c>
      <c r="J20" s="22" t="str">
        <f>IF(I$5=0,"N.D.",I20/I$5)</f>
        <v>N.D.</v>
      </c>
      <c r="K20" s="208">
        <f>K15+K16+K17-K18</f>
        <v>0</v>
      </c>
      <c r="L20" s="22" t="str">
        <f>IF(K$5=0,"N.D.",K20/K$5)</f>
        <v>N.D.</v>
      </c>
      <c r="N20" s="4" t="s">
        <v>41</v>
      </c>
      <c r="O20" s="216">
        <f>O15+O16+O17-O18</f>
        <v>457.95818</v>
      </c>
      <c r="P20" s="22">
        <f>IF(O$5=0,"N.D.",O20/O$5)</f>
        <v>0.015513427910647</v>
      </c>
      <c r="Q20" s="208">
        <f>Q15+Q16+Q17-Q18</f>
        <v>150.12883</v>
      </c>
      <c r="R20" s="22">
        <f>IF(Q$5=0,"N.D.",Q20/Q$5)</f>
        <v>0.023960553009468</v>
      </c>
      <c r="S20" s="202">
        <f>S15+S16+S17-S18</f>
        <v>185.90747</v>
      </c>
      <c r="T20" s="22">
        <f>IF(S$5=0,"N.D.",S20/S$5)</f>
        <v>0.0066705154197431</v>
      </c>
      <c r="U20" s="208">
        <f>U15+U16+U17-U18</f>
        <v>2.36745</v>
      </c>
      <c r="V20" s="22">
        <f>IF(U$5=0,"N.D.",U20/U$5)</f>
        <v>0.00068537203158815</v>
      </c>
      <c r="W20" s="202">
        <f>W15+W16+W17-W18</f>
        <v>-4.71605</v>
      </c>
      <c r="X20" s="22">
        <f>IF(W$5=0,"N.D.",W20/W$5)</f>
        <v>-0.014472199922914</v>
      </c>
      <c r="Y20" s="208">
        <f>Y15+Y16+Y17-Y18</f>
        <v>1.40408</v>
      </c>
      <c r="Z20" s="22">
        <f>IF(Y$5=0,"N.D.",Y20/Y$5)</f>
        <v>0.0053172763765811</v>
      </c>
      <c r="AA20" s="213">
        <f>AA15+AA16+AA17-AA18</f>
        <v>793.04996</v>
      </c>
      <c r="AB20" s="22">
        <f>IF(AA$5=0,"N.D.",AA20/AA$5)</f>
        <v>0.014881010897022</v>
      </c>
      <c r="AC20" s="276"/>
      <c r="AE20" s="4" t="s">
        <v>41</v>
      </c>
      <c r="AF20" s="14">
        <f>AF15+AF16+AF17-AF18</f>
        <v>-629.0188</v>
      </c>
      <c r="AG20" s="22">
        <f>IF(AF$5=0,"N.D.",AF20/AF$5)</f>
        <v>-0.011965003147775</v>
      </c>
      <c r="AH20" s="14">
        <f>AH15+AH16+AH17-AH18</f>
        <v>-278.66812</v>
      </c>
      <c r="AI20" s="22">
        <f>IF(AH$5=0,"N.D.",AH20/AH$5)</f>
        <v>-0.0080592091856529</v>
      </c>
      <c r="AJ20" s="14">
        <f>AJ15+AJ16+AJ17-AJ18</f>
        <v>-335.98178</v>
      </c>
      <c r="AK20" s="22">
        <f>IF(AJ$5=0,"N.D.",AJ20/AJ$5)</f>
        <v>-0.047619622716567</v>
      </c>
      <c r="AL20" s="14">
        <f>AL15+AL16+AL17-AL18</f>
        <v>-49.637735</v>
      </c>
      <c r="AM20" s="22">
        <f>IF(AL$5=0,"N.D.",AL20/AL$5)</f>
        <v>-0.0053060176473169</v>
      </c>
      <c r="AN20" s="14">
        <f>AN15+AN16+AN17-AN18</f>
        <v>0</v>
      </c>
      <c r="AO20" s="22" t="str">
        <f>IF(AN$5=0,"N.D.",AN20/AN$5)</f>
        <v>N.D.</v>
      </c>
      <c r="AP20" s="14">
        <f>AP15+AP16+AP17-AP18</f>
        <v>-12.93689</v>
      </c>
      <c r="AQ20" s="22">
        <f>IF(AP$5=0,"N.D.",AP20/AP$5)</f>
        <v>-0.0025406044507389</v>
      </c>
      <c r="AR20" s="14">
        <f>AR15+AR16+AR17-AR18</f>
        <v>834.83947</v>
      </c>
      <c r="AS20" s="22">
        <f>IF(AR$5=0,"N.D.",AR20/AR$5)</f>
        <v>0.013072235751081</v>
      </c>
      <c r="AT20" s="14">
        <f>AT15+AT16+AT17-AT18</f>
        <v>-471.403855</v>
      </c>
      <c r="AU20" s="22">
        <f>IF(AT$5=0,"N.D.",AT20/AT$5)</f>
        <v>-0.0027325338619404</v>
      </c>
      <c r="AX20" s="4" t="s">
        <v>41</v>
      </c>
      <c r="AY20" s="208">
        <f>AY15+AY16+AY17-AY18</f>
        <v>-352.66002</v>
      </c>
      <c r="AZ20" s="22">
        <f>IF(AY$5=0,"N.D.",AY20/AY$5)</f>
        <v>-0.056328507273558</v>
      </c>
      <c r="BA20" s="208">
        <f>BA15+BA16+BA17-BA18</f>
        <v>-6.86647</v>
      </c>
      <c r="BB20" s="22">
        <f>IF(BA$5=0,"N.D.",BA20/BA$5)</f>
        <v>-0.0059909712662811</v>
      </c>
      <c r="BC20" s="14">
        <f>BC15+BC16+BC17-BC18</f>
        <v>-359.52649</v>
      </c>
      <c r="BD20" s="22">
        <f>IF(BC$5=0,"N.D.",BC20/BC$5)</f>
        <v>-0.048539337139163</v>
      </c>
      <c r="BE20" s="221"/>
      <c r="BG20" s="4"/>
      <c r="BI20" s="221"/>
      <c r="BK20" s="221"/>
      <c r="BM20" s="221"/>
      <c r="BO20" s="221"/>
      <c r="BQ20" s="221"/>
      <c r="BU20" s="4"/>
      <c r="BW20" s="221"/>
      <c r="BY20" s="221"/>
      <c r="CA20" s="221"/>
      <c r="CC20" s="221"/>
      <c r="CE20" s="221"/>
      <c r="CG20" s="221"/>
    </row>
    <row r="21" spans="1:85">
      <c r="B21" s="4" t="s">
        <v>42</v>
      </c>
      <c r="C21" s="215">
        <f>C13-C20</f>
        <v>-53.63116</v>
      </c>
      <c r="D21" s="22" t="str">
        <f>IF(C$5=0,"N.D.",C21/C$5)</f>
        <v>N.D.</v>
      </c>
      <c r="E21" s="31">
        <f>E13-E20</f>
        <v>-20.7791</v>
      </c>
      <c r="F21" s="22" t="str">
        <f>IF(E$5=0,"N.D.",E21/E$5)</f>
        <v>N.D.</v>
      </c>
      <c r="G21" s="14">
        <f>G13-G20</f>
        <v>-1.253</v>
      </c>
      <c r="H21" s="22" t="str">
        <f>IF(G$5=0,"N.D.",G21/G$5)</f>
        <v>N.D.</v>
      </c>
      <c r="I21" s="31">
        <f>I13-I20</f>
        <v>-0.975</v>
      </c>
      <c r="J21" s="22" t="str">
        <f>IF(I$5=0,"N.D.",I21/I$5)</f>
        <v>N.D.</v>
      </c>
      <c r="K21" s="14">
        <f>K13-K20</f>
        <v>-76.63826</v>
      </c>
      <c r="L21" s="22" t="str">
        <f>IF(K$5=0,"N.D.",K21/K$5)</f>
        <v>N.D.</v>
      </c>
      <c r="N21" s="4" t="s">
        <v>42</v>
      </c>
      <c r="O21" s="212">
        <f>O13-O20</f>
        <v>3169.16414</v>
      </c>
      <c r="P21" s="22">
        <f>IF(O$5=0,"N.D.",O21/O$5)</f>
        <v>0.10735608963879</v>
      </c>
      <c r="Q21" s="200">
        <f>Q13-Q20</f>
        <v>1313.27134</v>
      </c>
      <c r="R21" s="22">
        <f>IF(Q$5=0,"N.D.",Q21/Q$5)</f>
        <v>0.20959803362143</v>
      </c>
      <c r="S21" s="209">
        <f>S13-S20</f>
        <v>826.64608</v>
      </c>
      <c r="T21" s="22">
        <f>IF(S$5=0,"N.D.",S21/S$5)</f>
        <v>0.029660752326468</v>
      </c>
      <c r="U21" s="200">
        <f>U13-U20</f>
        <v>245.27391</v>
      </c>
      <c r="V21" s="22">
        <f>IF(U$5=0,"N.D.",U21/U$5)</f>
        <v>0.07100630551533</v>
      </c>
      <c r="W21" s="209">
        <f>W13-W20</f>
        <v>-34.93829</v>
      </c>
      <c r="X21" s="22">
        <f>IF(W$5=0,"N.D.",W21/W$5)</f>
        <v>-0.10721555493363</v>
      </c>
      <c r="Y21" s="200">
        <f>Y13-Y20</f>
        <v>47.54929</v>
      </c>
      <c r="Z21" s="22">
        <f>IF(Y$5=0,"N.D.",Y21/Y$5)</f>
        <v>0.18007002196471</v>
      </c>
      <c r="AA21" s="210">
        <f>AA13-AA20</f>
        <v>5566.96647</v>
      </c>
      <c r="AB21" s="22">
        <f>IF(AA$5=0,"N.D.",AA21/AA$5)</f>
        <v>0.1044601133369</v>
      </c>
      <c r="AC21" s="276"/>
      <c r="AE21" s="4" t="s">
        <v>42</v>
      </c>
      <c r="AF21" s="14">
        <f>AF13-AF20</f>
        <v>2450.89792</v>
      </c>
      <c r="AG21" s="22">
        <f>IF(AF$5=0,"N.D.",AF21/AF$5)</f>
        <v>0.046620230313743</v>
      </c>
      <c r="AH21" s="14">
        <f>AH13-AH20</f>
        <v>3085.07045</v>
      </c>
      <c r="AI21" s="22">
        <f>IF(AH$5=0,"N.D.",AH21/AH$5)</f>
        <v>0.089221645120462</v>
      </c>
      <c r="AJ21" s="14">
        <f>AJ13-AJ20</f>
        <v>-1664.96127</v>
      </c>
      <c r="AK21" s="22">
        <f>IF(AJ$5=0,"N.D.",AJ21/AJ$5)</f>
        <v>-0.23597954482858</v>
      </c>
      <c r="AL21" s="14">
        <f>AL13-AL20</f>
        <v>1648.545665</v>
      </c>
      <c r="AM21" s="22">
        <f>IF(AL$5=0,"N.D.",AL21/AL$5)</f>
        <v>0.17622102198857</v>
      </c>
      <c r="AN21" s="14">
        <f>AN13-AN20</f>
        <v>0</v>
      </c>
      <c r="AO21" s="22" t="str">
        <f>IF(AN$5=0,"N.D.",AN21/AN$5)</f>
        <v>N.D.</v>
      </c>
      <c r="AP21" s="14">
        <f>AP13-AP20</f>
        <v>451.74667</v>
      </c>
      <c r="AQ21" s="22">
        <f>IF(AP$5=0,"N.D.",AP21/AP$5)</f>
        <v>0.088716036111344</v>
      </c>
      <c r="AR21" s="14">
        <f>AR13-AR20</f>
        <v>3942.61363</v>
      </c>
      <c r="AS21" s="22">
        <f>IF(AR$5=0,"N.D.",AR21/AR$5)</f>
        <v>0.06173495228584</v>
      </c>
      <c r="AT21" s="14">
        <f>AT13-AT20</f>
        <v>9913.913065</v>
      </c>
      <c r="AU21" s="22">
        <f>IF(AT$5=0,"N.D.",AT21/AT$5)</f>
        <v>0.057466868094335</v>
      </c>
      <c r="AX21" s="4" t="s">
        <v>42</v>
      </c>
      <c r="AY21" s="14">
        <f>AY13-AY20</f>
        <v>3086.90538</v>
      </c>
      <c r="AZ21" s="22">
        <f>IF(AY$5=0,"N.D.",AY21/AY$5)</f>
        <v>0.49305496027056</v>
      </c>
      <c r="BA21" s="14">
        <f>BA13-BA20</f>
        <v>141.62143</v>
      </c>
      <c r="BB21" s="22">
        <f>IF(BA$5=0,"N.D.",BA21/BA$5)</f>
        <v>0.12356420661849</v>
      </c>
      <c r="BC21" s="14">
        <f>BC13-BC20</f>
        <v>3228.52681</v>
      </c>
      <c r="BD21" s="22">
        <f>IF(BC$5=0,"N.D.",BC21/BC$5)</f>
        <v>0.43588040284158</v>
      </c>
      <c r="BE21" s="221"/>
      <c r="BG21" s="7" t="s">
        <v>117</v>
      </c>
      <c r="BH21" s="8">
        <f>BDER!$C482/1000+ajustes!V13</f>
        <v>0</v>
      </c>
      <c r="BI21" s="220">
        <f>IF(BH$5=0,"N.D.",BH21/BH$5)</f>
        <v>0</v>
      </c>
      <c r="BJ21" s="8">
        <f>BDER!$C505/1000+ajustes!W13</f>
        <v>0</v>
      </c>
      <c r="BK21" s="220">
        <f>IF(BJ$5=0,"N.D.",BJ21/BJ$5)</f>
        <v>0</v>
      </c>
      <c r="BL21" s="195">
        <f>BDER!$C572/1000+ajustes!X13</f>
        <v>0</v>
      </c>
      <c r="BM21" s="220">
        <f>IF(BL$5=0,"N.D.",BL21/BL$5)</f>
        <v>0</v>
      </c>
      <c r="BN21" s="8">
        <f>BDER!$C617/1000+ajustes!Y13</f>
        <v>0</v>
      </c>
      <c r="BO21" s="220">
        <f>IF(BN$5=0,"N.D.",BN21/BN$5)</f>
        <v>0</v>
      </c>
      <c r="BP21" s="204">
        <f>SUM(BH21,BJ21,BL21,BN21)</f>
        <v>0</v>
      </c>
      <c r="BQ21" s="220">
        <f>IF(BP$5=0,"N.D.",BP21/BP$5)</f>
        <v>0</v>
      </c>
      <c r="BU21" s="7" t="s">
        <v>117</v>
      </c>
      <c r="BV21" s="194">
        <f>BDER!$C527/1000+ajustes!Z13</f>
        <v>0</v>
      </c>
      <c r="BW21" s="220">
        <f>IF(BV$5=0,"N.D.",BV21/BV$5)</f>
        <v>0</v>
      </c>
      <c r="BX21" s="8">
        <f>BDER!$C594/1000+ajustes!AA13</f>
        <v>0</v>
      </c>
      <c r="BY21" s="220">
        <f>IF(BX$5=0,"N.D.",BX21/BX$5)</f>
        <v>0</v>
      </c>
      <c r="BZ21" s="195">
        <f>BDER!$C639/1000+ajustes!AB13</f>
        <v>0</v>
      </c>
      <c r="CA21" s="220">
        <f>IF(BZ$5=0,"N.D.",BZ21/BZ$5)</f>
        <v>0</v>
      </c>
      <c r="CB21" s="8">
        <f>BDER!$C549/1000+ajustes!AC13</f>
        <v>0</v>
      </c>
      <c r="CC21" s="220">
        <f>IF(CB$5=0,"N.D.",CB21/CB$5)</f>
        <v>0</v>
      </c>
      <c r="CD21" s="204">
        <f>BDER!$C661/1000+ajustes!AD13</f>
        <v>0</v>
      </c>
      <c r="CE21" s="220">
        <f>IF(CD$5=0,"N.D.",CD21/CD$5)</f>
        <v>0</v>
      </c>
      <c r="CF21" s="204">
        <f>SUM(BV21,BX21,BZ21,CB21,CD21)</f>
        <v>0</v>
      </c>
      <c r="CG21" s="220">
        <f>IF(CF$5=0,"N.D.",CF21/CF$5)</f>
        <v>0</v>
      </c>
    </row>
    <row r="22" spans="1:85">
      <c r="B22" s="1"/>
      <c r="C22" s="30"/>
      <c r="D22" s="30"/>
      <c r="E22" s="30"/>
      <c r="F22" s="30"/>
      <c r="G22" s="30"/>
      <c r="H22" s="30"/>
      <c r="I22" s="30"/>
      <c r="J22" s="30"/>
      <c r="K22" s="30"/>
      <c r="L22" s="30"/>
      <c r="N22" s="1"/>
      <c r="O22" s="217"/>
      <c r="P22" s="30"/>
      <c r="Q22" s="217"/>
      <c r="R22" s="30"/>
      <c r="S22" s="217"/>
      <c r="T22" s="30"/>
      <c r="U22" s="217"/>
      <c r="V22" s="30"/>
      <c r="W22" s="217"/>
      <c r="X22" s="30"/>
      <c r="Y22" s="217"/>
      <c r="Z22" s="30"/>
      <c r="AA22" s="217"/>
      <c r="AB22" s="30"/>
      <c r="AC22" s="276"/>
      <c r="AE22" s="1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X22" s="1"/>
      <c r="AY22" s="30"/>
      <c r="AZ22" s="30"/>
      <c r="BA22" s="30"/>
      <c r="BB22" s="30"/>
      <c r="BC22" s="30"/>
      <c r="BD22" s="30"/>
      <c r="BE22" s="30"/>
      <c r="BG22" s="1" t="s">
        <v>118</v>
      </c>
      <c r="BH22" s="34">
        <f>BDER!$C483/1000+ajustes!V14</f>
        <v>0</v>
      </c>
      <c r="BI22" s="190">
        <f>IF(BH$5=0,"N.D.",BH22/BH$5)</f>
        <v>0</v>
      </c>
      <c r="BJ22" s="34">
        <f>BDER!$C506/1000+ajustes!W14</f>
        <v>0</v>
      </c>
      <c r="BK22" s="190">
        <f>IF(BJ$5=0,"N.D.",BJ22/BJ$5)</f>
        <v>0</v>
      </c>
      <c r="BL22" s="197">
        <f>BDER!$C573/1000+ajustes!X14</f>
        <v>0</v>
      </c>
      <c r="BM22" s="190">
        <f>IF(BL$5=0,"N.D.",BL22/BL$5)</f>
        <v>0</v>
      </c>
      <c r="BN22" s="34">
        <f>BDER!$C618/1000+ajustes!Y14</f>
        <v>0</v>
      </c>
      <c r="BO22" s="190">
        <f>IF(BN$5=0,"N.D.",BN22/BN$5)</f>
        <v>0</v>
      </c>
      <c r="BP22" s="206">
        <f>SUM(BH22,BJ22,BL22,BN22)</f>
        <v>0</v>
      </c>
      <c r="BQ22" s="190">
        <f>IF(BP$5=0,"N.D.",BP22/BP$5)</f>
        <v>0</v>
      </c>
      <c r="BU22" s="1" t="s">
        <v>118</v>
      </c>
      <c r="BV22" s="196">
        <f>BDER!$C528/1000+ajustes!Z14</f>
        <v>0</v>
      </c>
      <c r="BW22" s="190">
        <f>IF(BV$5=0,"N.D.",BV22/BV$5)</f>
        <v>0</v>
      </c>
      <c r="BX22" s="34">
        <f>BDER!$C595/1000+ajustes!AA14</f>
        <v>0</v>
      </c>
      <c r="BY22" s="190">
        <f>IF(BX$5=0,"N.D.",BX22/BX$5)</f>
        <v>0</v>
      </c>
      <c r="BZ22" s="197">
        <f>BDER!$C640/1000+ajustes!AB14</f>
        <v>0</v>
      </c>
      <c r="CA22" s="190">
        <f>IF(BZ$5=0,"N.D.",BZ22/BZ$5)</f>
        <v>0</v>
      </c>
      <c r="CB22" s="34">
        <f>BDER!$C550/1000+ajustes!AC14</f>
        <v>0</v>
      </c>
      <c r="CC22" s="190">
        <f>IF(CB$5=0,"N.D.",CB22/CB$5)</f>
        <v>0</v>
      </c>
      <c r="CD22" s="207">
        <f>BDER!$C662/1000+ajustes!AD14</f>
        <v>0</v>
      </c>
      <c r="CE22" s="190">
        <f>IF(CD$5=0,"N.D.",CD22/CD$5)</f>
        <v>0</v>
      </c>
      <c r="CF22" s="206">
        <f>SUM(BV22,BX22,BZ22,CB22,CD22)</f>
        <v>0</v>
      </c>
      <c r="CG22" s="190">
        <f>IF(CF$5=0,"N.D.",CF22/CF$5)</f>
        <v>0</v>
      </c>
    </row>
    <row r="23" spans="1:85">
      <c r="B23" s="7" t="s">
        <v>44</v>
      </c>
      <c r="C23" s="194">
        <f>BDER!$C173/1000+ajustes!B13</f>
        <v>0</v>
      </c>
      <c r="D23" s="220" t="str">
        <f>IF(C$5=0,"N.D.",C23/C$5)</f>
        <v>N.D.</v>
      </c>
      <c r="E23" s="8">
        <f>BDER!$C151/1000+ajustes!C13</f>
        <v>0</v>
      </c>
      <c r="F23" s="220" t="str">
        <f>IF(E$5=0,"N.D.",E23/E$5)</f>
        <v>N.D.</v>
      </c>
      <c r="G23" s="195">
        <f>BDER!$C217/1000+ajustes!D13</f>
        <v>0</v>
      </c>
      <c r="H23" s="220" t="str">
        <f>IF(G$5=0,"N.D.",G23/G$5)</f>
        <v>N.D.</v>
      </c>
      <c r="I23" s="195">
        <f>BDER!$C195/1000+ajustes!E13</f>
        <v>0</v>
      </c>
      <c r="J23" s="220" t="str">
        <f>IF(I$5=0,"N.D.",I23/I$5)</f>
        <v>N.D.</v>
      </c>
      <c r="K23" s="8">
        <f>SUM(C23,E23,G23,I23)</f>
        <v>0</v>
      </c>
      <c r="L23" s="220" t="str">
        <f>IF(K$5=0,"N.D.",K23/K$5)</f>
        <v>N.D.</v>
      </c>
      <c r="N23" s="7" t="s">
        <v>44</v>
      </c>
      <c r="O23" s="198">
        <f>BDER!$C19/1000+ajustes!F13</f>
        <v>697.85526</v>
      </c>
      <c r="P23" s="220">
        <f>IF(O$5=0,"N.D.",O23/O$5)</f>
        <v>0.023639991031661</v>
      </c>
      <c r="Q23" s="11">
        <f>BDER!$C41/1000+ajustes!G13</f>
        <v>183.954</v>
      </c>
      <c r="R23" s="220">
        <f>IF(Q$5=0,"N.D.",Q23/Q$5)</f>
        <v>0.029359048280758</v>
      </c>
      <c r="S23" s="30">
        <f>BDER!$C63/1000+ajustes!H13</f>
        <v>541</v>
      </c>
      <c r="T23" s="220">
        <f>IF(S$5=0,"N.D.",S23/S$5)</f>
        <v>0.019411532210519</v>
      </c>
      <c r="U23" s="11">
        <f>BDER!$C85/1000+ajustes!I13</f>
        <v>74.1974</v>
      </c>
      <c r="V23" s="220">
        <f>IF(U$5=0,"N.D.",U23/U$5)</f>
        <v>0.021479998638433</v>
      </c>
      <c r="W23" s="30">
        <f>BDER!$C107/1000+ajustes!J13</f>
        <v>9.463</v>
      </c>
      <c r="X23" s="220">
        <f>IF(W$5=0,"N.D.",W23/W$5)</f>
        <v>0.029039223051184</v>
      </c>
      <c r="Y23" s="11">
        <f>BDER!$C129/1000+ajustes!K13</f>
        <v>30.776</v>
      </c>
      <c r="Z23" s="220">
        <f>IF(Y$5=0,"N.D.",Y23/Y$5)</f>
        <v>0.11654926910551</v>
      </c>
      <c r="AA23" s="206">
        <f>SUM(O23,Q23,S23,U23,W23,Y23)</f>
        <v>1537.24566</v>
      </c>
      <c r="AB23" s="220">
        <f>IF(AA$5=0,"N.D.",AA23/AA$5)</f>
        <v>0.028845306817568</v>
      </c>
      <c r="AC23" s="276"/>
      <c r="AE23" s="7" t="s">
        <v>44</v>
      </c>
      <c r="AF23" s="8">
        <f>BDER!$C305/1000+ajustes!L13</f>
        <v>1382.15146</v>
      </c>
      <c r="AG23" s="220">
        <f>IF(AF$5=0,"N.D.",AF23/AF$5)</f>
        <v>0.026290862164376</v>
      </c>
      <c r="AH23" s="8">
        <f>BDER!$C327/1000+ajustes!M13</f>
        <v>546.01316</v>
      </c>
      <c r="AI23" s="220">
        <f>IF(AH$5=0,"N.D.",AH23/AH$5)</f>
        <v>0.015790949731025</v>
      </c>
      <c r="AJ23" s="8">
        <f>BDER!$C371/1000+ajustes!N13</f>
        <v>187.426</v>
      </c>
      <c r="AK23" s="220">
        <f>IF(AJ$5=0,"N.D.",AJ23/AJ$5)</f>
        <v>0.02656440300803</v>
      </c>
      <c r="AL23" s="8">
        <f>BDER!$C349/2000+ajustes!O13</f>
        <v>455.2685</v>
      </c>
      <c r="AM23" s="220">
        <f>IF(AL$5=0,"N.D.",AL23/AL$5)</f>
        <v>0.048665852607245</v>
      </c>
      <c r="AN23" s="8">
        <f>ajustes!P13</f>
        <v>0</v>
      </c>
      <c r="AO23" s="220" t="str">
        <f>IF(AN$5=0,"N.D.",AN23/AN$5)</f>
        <v>N.D.</v>
      </c>
      <c r="AP23" s="8">
        <f>BDER!$C415/1000+ajustes!Q13</f>
        <v>93.35</v>
      </c>
      <c r="AQ23" s="220">
        <f>IF(AP$5=0,"N.D.",AP23/AP$5)</f>
        <v>0.018332491462514</v>
      </c>
      <c r="AR23" s="8">
        <f>BDER!$C393/1000+ajustes!R13</f>
        <v>1342.979</v>
      </c>
      <c r="AS23" s="220">
        <f>IF(AR$5=0,"N.D.",AR23/AR$5)</f>
        <v>0.021028878877458</v>
      </c>
      <c r="AT23" s="8">
        <f>SUM(AF23,AH23,AJ23,AL23,AN23,AP23,AR23)</f>
        <v>4007.18812</v>
      </c>
      <c r="AU23" s="220">
        <f>IF(AT$5=0,"N.D.",AT23/AT$5)</f>
        <v>0.023228017999694</v>
      </c>
      <c r="AX23" s="7" t="s">
        <v>44</v>
      </c>
      <c r="AY23" s="8">
        <f>BDER!$C459/1000+ajustes!S13</f>
        <v>649.266</v>
      </c>
      <c r="AZ23" s="220">
        <f>IF(AY$5=0,"N.D.",AY23/AY$5)</f>
        <v>0.10370380119491</v>
      </c>
      <c r="BA23" s="204">
        <f>BDER!$C437/1000+ajustes!T13</f>
        <v>41.559</v>
      </c>
      <c r="BB23" s="220">
        <f>IF(BA$5=0,"N.D.",BA23/BA$5)</f>
        <v>0.036260083398803</v>
      </c>
      <c r="BC23" s="204">
        <f>SUM(AY23,BA23)</f>
        <v>690.825</v>
      </c>
      <c r="BD23" s="220">
        <f>IF(BC$5=0,"N.D.",BC23/BC$5)</f>
        <v>0.093267640943961</v>
      </c>
      <c r="BE23" s="187"/>
      <c r="BG23" s="4" t="s">
        <v>119</v>
      </c>
      <c r="BH23" s="208">
        <f>BH19-BH21-BH22</f>
        <v>15.54709</v>
      </c>
      <c r="BI23" s="35">
        <f>IF(BH$5=0,"N.D.",BH23/BH$5)</f>
        <v>0.050077113863946</v>
      </c>
      <c r="BJ23" s="208">
        <f>BJ19-BJ21-BJ22</f>
        <v>23.13052</v>
      </c>
      <c r="BK23" s="35">
        <f>IF(BJ$5=0,"N.D.",BJ23/BJ$5)</f>
        <v>0.038211830291811</v>
      </c>
      <c r="BL23" s="208">
        <f>BL19-BL21-BL22</f>
        <v>33.29723</v>
      </c>
      <c r="BM23" s="35">
        <f>IF(BL$5=0,"N.D.",BL23/BL$5)</f>
        <v>0.12110116374443</v>
      </c>
      <c r="BN23" s="208">
        <f>BN19-BN21-BN22</f>
        <v>27.25808</v>
      </c>
      <c r="BO23" s="35">
        <f>IF(BN$5=0,"N.D.",BN23/BN$5)</f>
        <v>0.070729169985844</v>
      </c>
      <c r="BP23" s="14">
        <f>BP19-BP21-BP22</f>
        <v>99.23292</v>
      </c>
      <c r="BQ23" s="35">
        <f>IF(BP$5=0,"N.D.",BP23/BP$5)</f>
        <v>0.062959976011578</v>
      </c>
      <c r="BU23" s="4" t="s">
        <v>119</v>
      </c>
      <c r="BV23" s="208">
        <f>BV19-BV21-BV22</f>
        <v>7.54703</v>
      </c>
      <c r="BW23" s="35">
        <f>IF(BV$5=0,"N.D.",BV23/BV$5)</f>
        <v>0.17023546175311</v>
      </c>
      <c r="BX23" s="208">
        <f>BX19-BX21-BX22</f>
        <v>15.43337</v>
      </c>
      <c r="BY23" s="35">
        <f>IF(BX$5=0,"N.D.",BX23/BX$5)</f>
        <v>0.51695132976202</v>
      </c>
      <c r="BZ23" s="208">
        <f>BZ19-BZ21-BZ22</f>
        <v>14.30084</v>
      </c>
      <c r="CA23" s="35">
        <f>IF(BZ$5=0,"N.D.",BZ23/BZ$5)</f>
        <v>0.71560446510958</v>
      </c>
      <c r="CB23" s="208">
        <f>CB19-CB21-CB22</f>
        <v>-0.05824</v>
      </c>
      <c r="CC23" s="35">
        <f>IF(CB$5=0,"N.D.",CB23/CB$5)</f>
        <v>-0.015559711461395</v>
      </c>
      <c r="CD23" s="208">
        <f>CD19-CD21-CD22</f>
        <v>2.2444</v>
      </c>
      <c r="CE23" s="35">
        <f>IF(CD$5=0,"N.D.",CD23/CD$5)</f>
        <v>0.43303106309087</v>
      </c>
      <c r="CF23" s="14">
        <f>CF19-CF21-CF22</f>
        <v>39.4674</v>
      </c>
      <c r="CG23" s="35">
        <f>IF(CF$5=0,"N.D.",CF23/CF$5)</f>
        <v>0.3828153007398</v>
      </c>
    </row>
    <row r="24" spans="1:85">
      <c r="B24" s="7" t="s">
        <v>45</v>
      </c>
      <c r="C24" s="196">
        <f>BDER!$C174+ajustes!B14</f>
        <v>0</v>
      </c>
      <c r="D24" s="219" t="str">
        <f>IF(C$5=0,"N.D.",C24/C$5)</f>
        <v>N.D.</v>
      </c>
      <c r="E24" s="34">
        <f>BDER!$C152/1000+ajustes!C14</f>
        <v>0</v>
      </c>
      <c r="F24" s="219" t="str">
        <f>IF(E$5=0,"N.D.",E24/E$5)</f>
        <v>N.D.</v>
      </c>
      <c r="G24" s="197">
        <f>BDER!$C218/1000+ajustes!D14</f>
        <v>0</v>
      </c>
      <c r="H24" s="219" t="str">
        <f>IF(G$5=0,"N.D.",G24/G$5)</f>
        <v>N.D.</v>
      </c>
      <c r="I24" s="197">
        <f>BDER!$C196/1000+ajustes!E14</f>
        <v>0</v>
      </c>
      <c r="J24" s="219" t="str">
        <f>IF(I$5=0,"N.D.",I24/I$5)</f>
        <v>N.D.</v>
      </c>
      <c r="K24" s="34">
        <f>SUM(C24,E24,G24,I24)</f>
        <v>0</v>
      </c>
      <c r="L24" s="219" t="str">
        <f>IF(K$5=0,"N.D.",K24/K$5)</f>
        <v>N.D.</v>
      </c>
      <c r="N24" s="7" t="s">
        <v>45</v>
      </c>
      <c r="O24" s="196">
        <f>BDER!$C20/1000+ajustes!F14</f>
        <v>0</v>
      </c>
      <c r="P24" s="219">
        <f>IF(O$5=0,"N.D.",O24/O$5)</f>
        <v>0</v>
      </c>
      <c r="Q24" s="34">
        <f>BDER!$C42/1000+ajustes!G14</f>
        <v>0</v>
      </c>
      <c r="R24" s="219">
        <f>IF(Q$5=0,"N.D.",Q24/Q$5)</f>
        <v>0</v>
      </c>
      <c r="S24" s="197">
        <f>BDER!$C64/1000+ajustes!H14</f>
        <v>0</v>
      </c>
      <c r="T24" s="219">
        <f>IF(S$5=0,"N.D.",S24/S$5)</f>
        <v>0</v>
      </c>
      <c r="U24" s="34">
        <f>BDER!$C86/1000+ajustes!I14</f>
        <v>0</v>
      </c>
      <c r="V24" s="219">
        <f>IF(U$5=0,"N.D.",U24/U$5)</f>
        <v>0</v>
      </c>
      <c r="W24" s="197">
        <f>BDER!$C108/1000+ajustes!J14</f>
        <v>0</v>
      </c>
      <c r="X24" s="219">
        <f>IF(W$5=0,"N.D.",W24/W$5)</f>
        <v>0</v>
      </c>
      <c r="Y24" s="34">
        <f>BDER!$C130/1000+ajustes!K14</f>
        <v>0</v>
      </c>
      <c r="Z24" s="219">
        <f>IF(Y$5=0,"N.D.",Y24/Y$5)</f>
        <v>0</v>
      </c>
      <c r="AA24" s="207">
        <f>SUM(O24,Q24,S24,U24,W24,Y24)</f>
        <v>0</v>
      </c>
      <c r="AB24" s="219">
        <f>IF(AA$5=0,"N.D.",AA24/AA$5)</f>
        <v>0</v>
      </c>
      <c r="AC24" s="276"/>
      <c r="AE24" s="7" t="s">
        <v>45</v>
      </c>
      <c r="AF24" s="11">
        <f>BDER!$C306/1000+ajustes!L14</f>
        <v>0</v>
      </c>
      <c r="AG24" s="219">
        <f>IF(AF$5=0,"N.D.",AF24/AF$5)</f>
        <v>0</v>
      </c>
      <c r="AH24" s="11">
        <f>BDER!$C328/1000+ajustes!M14</f>
        <v>0</v>
      </c>
      <c r="AI24" s="219">
        <f>IF(AH$5=0,"N.D.",AH24/AH$5)</f>
        <v>0</v>
      </c>
      <c r="AJ24" s="11">
        <f>BDER!$C372/1000+ajustes!N14</f>
        <v>0</v>
      </c>
      <c r="AK24" s="219">
        <f>IF(AJ$5=0,"N.D.",AJ24/AJ$5)</f>
        <v>0</v>
      </c>
      <c r="AL24" s="11">
        <f>BDER!$C350/2000+ajustes!O14</f>
        <v>0</v>
      </c>
      <c r="AM24" s="219">
        <f>IF(AL$5=0,"N.D.",AL24/AL$5)</f>
        <v>0</v>
      </c>
      <c r="AN24" s="11">
        <f>ajustes!P14</f>
        <v>0</v>
      </c>
      <c r="AO24" s="219" t="str">
        <f>IF(AN$5=0,"N.D.",AN24/AN$5)</f>
        <v>N.D.</v>
      </c>
      <c r="AP24" s="11">
        <f>BDER!$C416/1000+ajustes!Q14</f>
        <v>0</v>
      </c>
      <c r="AQ24" s="219">
        <f>IF(AP$5=0,"N.D.",AP24/AP$5)</f>
        <v>0</v>
      </c>
      <c r="AR24" s="11">
        <f>BDER!$C394/1000+ajustes!R14</f>
        <v>0</v>
      </c>
      <c r="AS24" s="219">
        <f>IF(AR$5=0,"N.D.",AR24/AR$5)</f>
        <v>0</v>
      </c>
      <c r="AT24" s="11">
        <f>SUM(AF24,AH24,AJ24,AL24,AN24,AP24,AR24)</f>
        <v>0</v>
      </c>
      <c r="AU24" s="219">
        <f>IF(AT$5=0,"N.D.",AT24/AT$5)</f>
        <v>0</v>
      </c>
      <c r="AX24" s="7" t="s">
        <v>45</v>
      </c>
      <c r="AY24" s="34">
        <f>BDER!$C460/1000+ajustes!S14</f>
        <v>0</v>
      </c>
      <c r="AZ24" s="219">
        <f>IF(AY$5=0,"N.D.",AY24/AY$5)</f>
        <v>0</v>
      </c>
      <c r="BA24" s="207">
        <f>BDER!$C438/1000+ajustes!T14</f>
        <v>0</v>
      </c>
      <c r="BB24" s="219">
        <f>IF(BA$5=0,"N.D.",BA24/BA$5)</f>
        <v>0</v>
      </c>
      <c r="BC24" s="206">
        <f>SUM(AY24,BA24)</f>
        <v>0</v>
      </c>
      <c r="BD24" s="219">
        <f>IF(BC$5=0,"N.D.",BC24/BC$5)</f>
        <v>0</v>
      </c>
      <c r="BE24" s="187"/>
      <c r="BG24" s="4" t="s">
        <v>120</v>
      </c>
      <c r="BH24" s="14">
        <f>BH13+BH11</f>
        <v>15.54363</v>
      </c>
      <c r="BI24" s="22">
        <f>IF(BH$5=0,"N.D.",BH24/BH$5)</f>
        <v>0.050065969217972</v>
      </c>
      <c r="BJ24" s="14">
        <f>BJ13+BJ11</f>
        <v>25.04462</v>
      </c>
      <c r="BK24" s="22">
        <f>IF(BJ$5=0,"N.D.",BJ24/BJ$5)</f>
        <v>0.04137394097335</v>
      </c>
      <c r="BL24" s="14">
        <f>BL13+BL11</f>
        <v>37.19534</v>
      </c>
      <c r="BM24" s="22">
        <f>IF(BL$5=0,"N.D.",BL24/BL$5)</f>
        <v>0.13527848892745</v>
      </c>
      <c r="BN24" s="14">
        <f>BN13+BN11</f>
        <v>29.92775</v>
      </c>
      <c r="BO24" s="22">
        <f>IF(BN$5=0,"N.D.",BN24/BN$5)</f>
        <v>0.077656420299736</v>
      </c>
      <c r="BP24" s="20">
        <f>BP13+BP11</f>
        <v>107.71134</v>
      </c>
      <c r="BQ24" s="22">
        <f>IF(BP$5=0,"N.D.",BP24/BP$5)</f>
        <v>0.06833925054886</v>
      </c>
      <c r="BU24" s="4" t="s">
        <v>120</v>
      </c>
      <c r="BV24" s="14">
        <f>BV13+BV11</f>
        <v>33.62259</v>
      </c>
      <c r="BW24" s="22">
        <f>IF(BV$5=0,"N.D.",BV24/BV$5)</f>
        <v>0.75841186983298</v>
      </c>
      <c r="BX24" s="14">
        <f>BX13+BX11</f>
        <v>20.48391</v>
      </c>
      <c r="BY24" s="22">
        <f>IF(BX$5=0,"N.D.",BX24/BX$5)</f>
        <v>0.68612263641872</v>
      </c>
      <c r="BZ24" s="14">
        <f>BZ13+BZ11</f>
        <v>18.45786</v>
      </c>
      <c r="CA24" s="22">
        <f>IF(BZ$5=0,"N.D.",BZ24/BZ$5)</f>
        <v>0.9236189645061</v>
      </c>
      <c r="CB24" s="14">
        <f>CB13+CB11</f>
        <v>3.7278</v>
      </c>
      <c r="CC24" s="22">
        <f>IF(CB$5=0,"N.D.",CB24/CB$5)</f>
        <v>0.99593908629442</v>
      </c>
      <c r="CD24" s="14">
        <f>CD13+CD11</f>
        <v>5.15961</v>
      </c>
      <c r="CE24" s="22">
        <f>IF(CD$5=0,"N.D.",CD24/CD$5)</f>
        <v>0.9954871695929</v>
      </c>
      <c r="CF24" s="20">
        <f>CF13+CF11</f>
        <v>81.45177</v>
      </c>
      <c r="CG24" s="22">
        <f>IF(CF$5=0,"N.D.",CF24/CF$5)</f>
        <v>0.79004403199449</v>
      </c>
    </row>
    <row r="25" spans="1:85">
      <c r="B25" s="4" t="s">
        <v>47</v>
      </c>
      <c r="C25" s="212">
        <f>C21-C23</f>
        <v>-53.63116</v>
      </c>
      <c r="D25" s="22" t="str">
        <f>IF(C$5=0,"N.D.",C25/C$5)</f>
        <v>N.D.</v>
      </c>
      <c r="E25" s="200">
        <f>E21-E23</f>
        <v>-20.7791</v>
      </c>
      <c r="F25" s="22" t="str">
        <f>IF(E$5=0,"N.D.",E25/E$5)</f>
        <v>N.D.</v>
      </c>
      <c r="G25" s="200">
        <f>G21-G23</f>
        <v>-1.253</v>
      </c>
      <c r="H25" s="22" t="str">
        <f>IF(G$5=0,"N.D.",G25/G$5)</f>
        <v>N.D.</v>
      </c>
      <c r="I25" s="200">
        <f>I21-I23</f>
        <v>-0.975</v>
      </c>
      <c r="J25" s="22" t="str">
        <f>IF(I$5=0,"N.D.",I25/I$5)</f>
        <v>N.D.</v>
      </c>
      <c r="K25" s="210">
        <f>K21-K23</f>
        <v>-76.63826</v>
      </c>
      <c r="L25" s="22" t="str">
        <f>IF(K$5=0,"N.D.",K25/K$5)</f>
        <v>N.D.</v>
      </c>
      <c r="N25" s="4" t="s">
        <v>47</v>
      </c>
      <c r="O25" s="216">
        <f>O21-O23</f>
        <v>2471.30888</v>
      </c>
      <c r="P25" s="22">
        <f>IF(O$5=0,"N.D.",O25/O$5)</f>
        <v>0.08371609860713</v>
      </c>
      <c r="Q25" s="208">
        <f>Q21-Q23</f>
        <v>1129.31734</v>
      </c>
      <c r="R25" s="22">
        <f>IF(Q$5=0,"N.D.",Q25/Q$5)</f>
        <v>0.18023898534067</v>
      </c>
      <c r="S25" s="202">
        <f>S21-S23</f>
        <v>285.64608</v>
      </c>
      <c r="T25" s="22">
        <f>IF(S$5=0,"N.D.",S25/S$5)</f>
        <v>0.010249220115949</v>
      </c>
      <c r="U25" s="208">
        <f>U21-U23</f>
        <v>171.07651</v>
      </c>
      <c r="V25" s="22">
        <f>IF(U$5=0,"N.D.",U25/U$5)</f>
        <v>0.049526306876897</v>
      </c>
      <c r="W25" s="202">
        <f>W21-W23</f>
        <v>-44.40129</v>
      </c>
      <c r="X25" s="22">
        <f>IF(W$5=0,"N.D.",W25/W$5)</f>
        <v>-0.13625477798481</v>
      </c>
      <c r="Y25" s="208">
        <f>Y21-Y23</f>
        <v>16.77329</v>
      </c>
      <c r="Z25" s="22">
        <f>IF(Y$5=0,"N.D.",Y25/Y$5)</f>
        <v>0.063520752859199</v>
      </c>
      <c r="AA25" s="213">
        <f>AA21-AA23</f>
        <v>4029.72081</v>
      </c>
      <c r="AB25" s="22">
        <f>IF(AA$5=0,"N.D.",AA25/AA$5)</f>
        <v>0.075614806519336</v>
      </c>
      <c r="AC25" s="276"/>
      <c r="AE25" s="4" t="s">
        <v>47</v>
      </c>
      <c r="AF25" s="14">
        <f>AF21-AF23</f>
        <v>1068.74646</v>
      </c>
      <c r="AG25" s="22">
        <f>IF(AF$5=0,"N.D.",AF25/AF$5)</f>
        <v>0.020329368149367</v>
      </c>
      <c r="AH25" s="14">
        <f>AH21-AH23</f>
        <v>2539.05729</v>
      </c>
      <c r="AI25" s="22">
        <f>IF(AH$5=0,"N.D.",AH25/AH$5)</f>
        <v>0.073430695389436</v>
      </c>
      <c r="AJ25" s="14">
        <f>AJ21-AJ23</f>
        <v>-1852.38727</v>
      </c>
      <c r="AK25" s="22">
        <f>IF(AJ$5=0,"N.D.",AJ25/AJ$5)</f>
        <v>-0.26254394783661</v>
      </c>
      <c r="AL25" s="14">
        <f>AL21-AL23</f>
        <v>1193.277165</v>
      </c>
      <c r="AM25" s="22">
        <f>IF(AL$5=0,"N.D.",AL25/AL$5)</f>
        <v>0.12755516938132</v>
      </c>
      <c r="AN25" s="14">
        <f>AN21-AN23</f>
        <v>0</v>
      </c>
      <c r="AO25" s="22" t="str">
        <f>IF(AN$5=0,"N.D.",AN25/AN$5)</f>
        <v>N.D.</v>
      </c>
      <c r="AP25" s="14">
        <f>AP21-AP23</f>
        <v>358.39667</v>
      </c>
      <c r="AQ25" s="22">
        <f>IF(AP$5=0,"N.D.",AP25/AP$5)</f>
        <v>0.07038354464883</v>
      </c>
      <c r="AR25" s="14">
        <f>AR21-AR23</f>
        <v>2599.63463</v>
      </c>
      <c r="AS25" s="22">
        <f>IF(AR$5=0,"N.D.",AR25/AR$5)</f>
        <v>0.040706073408382</v>
      </c>
      <c r="AT25" s="14">
        <f>AT21-AT23</f>
        <v>5906.724945</v>
      </c>
      <c r="AU25" s="22">
        <f>IF(AT$5=0,"N.D.",AT25/AT$5)</f>
        <v>0.03423885009464</v>
      </c>
      <c r="AX25" s="4" t="s">
        <v>47</v>
      </c>
      <c r="AY25" s="208">
        <f>AY21-AY23</f>
        <v>2437.63938</v>
      </c>
      <c r="AZ25" s="22">
        <f>IF(AY$5=0,"N.D.",AY25/AY$5)</f>
        <v>0.38935115907565</v>
      </c>
      <c r="BA25" s="208">
        <f>BA21-BA23</f>
        <v>100.06243</v>
      </c>
      <c r="BB25" s="22">
        <f>IF(BA$5=0,"N.D.",BA25/BA$5)</f>
        <v>0.087304123219684</v>
      </c>
      <c r="BC25" s="14">
        <f>BC21-BC23</f>
        <v>2537.70181</v>
      </c>
      <c r="BD25" s="22">
        <f>IF(BC$5=0,"N.D.",BC25/BC$5)</f>
        <v>0.34261276189762</v>
      </c>
      <c r="BE25" s="221"/>
    </row>
    <row r="26" spans="1:85">
      <c r="B26" s="4" t="s">
        <v>48</v>
      </c>
      <c r="C26" s="215">
        <f>C13+C11</f>
        <v>-53.63116</v>
      </c>
      <c r="D26" s="22" t="str">
        <f>IF(C$5=0,"N.D.",C26/C$5)</f>
        <v>N.D.</v>
      </c>
      <c r="E26" s="14">
        <f>E13+E11</f>
        <v>-20.7791</v>
      </c>
      <c r="F26" s="22" t="str">
        <f>IF(E$5=0,"N.D.",E26/E$5)</f>
        <v>N.D.</v>
      </c>
      <c r="G26" s="14">
        <f>G13+G11</f>
        <v>-1.253</v>
      </c>
      <c r="H26" s="22" t="str">
        <f>IF(G$5=0,"N.D.",G26/G$5)</f>
        <v>N.D.</v>
      </c>
      <c r="I26" s="14">
        <f>I13+I11</f>
        <v>-0.975</v>
      </c>
      <c r="J26" s="22" t="str">
        <f>IF(I$5=0,"N.D.",I26/I$5)</f>
        <v>N.D.</v>
      </c>
      <c r="K26" s="214">
        <f>K13+K11</f>
        <v>-76.63826</v>
      </c>
      <c r="L26" s="22" t="str">
        <f>IF(K$5=0,"N.D.",K26/K$5)</f>
        <v>N.D.</v>
      </c>
      <c r="N26" s="4" t="s">
        <v>48</v>
      </c>
      <c r="O26" s="215">
        <f>O13+O11</f>
        <v>4335.55847</v>
      </c>
      <c r="P26" s="22">
        <f>IF(O$5=0,"N.D.",O26/O$5)</f>
        <v>0.14686793841468</v>
      </c>
      <c r="Q26" s="14">
        <f>Q13+Q11</f>
        <v>1463.40017</v>
      </c>
      <c r="R26" s="22">
        <f>IF(Q$5=0,"N.D.",Q26/Q$5)</f>
        <v>0.23355858663089</v>
      </c>
      <c r="S26" s="31">
        <f>S13+S11</f>
        <v>1122.58263</v>
      </c>
      <c r="T26" s="22">
        <f>IF(S$5=0,"N.D.",S26/S$5)</f>
        <v>0.040279203107604</v>
      </c>
      <c r="U26" s="14">
        <f>U13+U11</f>
        <v>292.81768</v>
      </c>
      <c r="V26" s="22">
        <f>IF(U$5=0,"N.D.",U26/U$5)</f>
        <v>0.084770131671853</v>
      </c>
      <c r="W26" s="31">
        <f>W13+W11</f>
        <v>-39.65434</v>
      </c>
      <c r="X26" s="22">
        <f>IF(W$5=0,"N.D.",W26/W$5)</f>
        <v>-0.12168775485654</v>
      </c>
      <c r="Y26" s="14">
        <f>Y13+Y11</f>
        <v>95.82545</v>
      </c>
      <c r="Z26" s="22">
        <f>IF(Y$5=0,"N.D.",Y26/Y$5)</f>
        <v>0.36289271377717</v>
      </c>
      <c r="AA26" s="214">
        <f>AA13+AA11</f>
        <v>7270.53006</v>
      </c>
      <c r="AB26" s="22">
        <f>IF(AA$5=0,"N.D.",AA26/AA$5)</f>
        <v>0.13642625623484</v>
      </c>
      <c r="AC26" s="276"/>
      <c r="AE26" s="4" t="s">
        <v>48</v>
      </c>
      <c r="AF26" s="20">
        <f>AF13+AF11</f>
        <v>2177.02996</v>
      </c>
      <c r="AG26" s="22">
        <f>IF(AF$5=0,"N.D.",AF26/AF$5)</f>
        <v>0.041410797776155</v>
      </c>
      <c r="AH26" s="20">
        <f>AH13+AH11</f>
        <v>3438.27418</v>
      </c>
      <c r="AI26" s="22">
        <f>IF(AH$5=0,"N.D.",AH26/AH$5)</f>
        <v>0.099436458157643</v>
      </c>
      <c r="AJ26" s="20">
        <f>AJ13+AJ11</f>
        <v>-1751.36186</v>
      </c>
      <c r="AK26" s="22">
        <f>IF(AJ$5=0,"N.D.",AJ26/AJ$5)</f>
        <v>-0.2482253383305</v>
      </c>
      <c r="AL26" s="20">
        <f>AL13+AL11</f>
        <v>1776.45243</v>
      </c>
      <c r="AM26" s="22">
        <f>IF(AL$5=0,"N.D.",AL26/AL$5)</f>
        <v>0.18989359492731</v>
      </c>
      <c r="AN26" s="20">
        <f>AN13+AN11</f>
        <v>0</v>
      </c>
      <c r="AO26" s="22" t="str">
        <f>IF(AN$5=0,"N.D.",AN26/AN$5)</f>
        <v>N.D.</v>
      </c>
      <c r="AP26" s="20">
        <f>AP13+AP11</f>
        <v>735.04751</v>
      </c>
      <c r="AQ26" s="22">
        <f>IF(AP$5=0,"N.D.",AP26/AP$5)</f>
        <v>0.14435192503071</v>
      </c>
      <c r="AR26" s="20">
        <f>AR13+AR11</f>
        <v>5008.87095</v>
      </c>
      <c r="AS26" s="22">
        <f>IF(AR$5=0,"N.D.",AR26/AR$5)</f>
        <v>0.078430817250581</v>
      </c>
      <c r="AT26" s="20">
        <f>AT13+AT11</f>
        <v>11384.31317</v>
      </c>
      <c r="AU26" s="22">
        <f>IF(AT$5=0,"N.D.",AT26/AT$5)</f>
        <v>0.065990171488859</v>
      </c>
      <c r="AX26" s="4" t="s">
        <v>48</v>
      </c>
      <c r="AY26" s="14">
        <f>AY13+AY11</f>
        <v>2741.12103</v>
      </c>
      <c r="AZ26" s="22">
        <f>IF(AY$5=0,"N.D.",AY26/AY$5)</f>
        <v>0.43782466715694</v>
      </c>
      <c r="BA26" s="14">
        <f>BA13+BA11</f>
        <v>159.8047</v>
      </c>
      <c r="BB26" s="22">
        <f>IF(BA$5=0,"N.D.",BA26/BA$5)</f>
        <v>0.13942904664503</v>
      </c>
      <c r="BC26" s="20">
        <f>BC13+BC11</f>
        <v>2900.92573</v>
      </c>
      <c r="BD26" s="22">
        <f>IF(BC$5=0,"N.D.",BC26/BC$5)</f>
        <v>0.39165128562333</v>
      </c>
      <c r="BE26" s="221"/>
    </row>
    <row r="29" spans="1:85">
      <c r="A29" t="s">
        <v>121</v>
      </c>
      <c r="B29" t="s">
        <v>65</v>
      </c>
      <c r="AE29" t="s">
        <v>67</v>
      </c>
    </row>
    <row r="30" spans="1:85">
      <c r="B30" s="26"/>
      <c r="C30" s="2" t="s">
        <v>68</v>
      </c>
      <c r="D30" s="2"/>
      <c r="E30" s="2" t="s">
        <v>69</v>
      </c>
      <c r="F30" s="2"/>
      <c r="G30" s="2" t="s">
        <v>70</v>
      </c>
      <c r="H30" s="2"/>
      <c r="I30" s="2" t="s">
        <v>71</v>
      </c>
      <c r="J30" s="2"/>
      <c r="K30" s="2" t="s">
        <v>72</v>
      </c>
      <c r="L30" s="2"/>
      <c r="N30" t="s">
        <v>73</v>
      </c>
      <c r="P30" s="2"/>
      <c r="R30" s="2"/>
      <c r="T30" s="2"/>
      <c r="V30" s="2"/>
      <c r="X30" s="2"/>
      <c r="Z30" s="2"/>
      <c r="AB30" s="2"/>
      <c r="AC30" s="278"/>
      <c r="AE30" s="26"/>
      <c r="AF30" s="2" t="s">
        <v>74</v>
      </c>
      <c r="AG30" s="2"/>
      <c r="AH30" s="2" t="s">
        <v>75</v>
      </c>
      <c r="AI30" s="2"/>
      <c r="AJ30" s="2" t="s">
        <v>76</v>
      </c>
      <c r="AK30" s="2"/>
      <c r="AL30" s="2" t="s">
        <v>77</v>
      </c>
      <c r="AM30" s="2"/>
      <c r="AN30" s="2" t="s">
        <v>78</v>
      </c>
      <c r="AO30" s="2"/>
      <c r="AP30" s="2" t="s">
        <v>79</v>
      </c>
      <c r="AQ30" s="2"/>
      <c r="AR30" s="2" t="s">
        <v>80</v>
      </c>
      <c r="AS30" s="2"/>
      <c r="AT30" s="2" t="s">
        <v>72</v>
      </c>
      <c r="AU30" s="2"/>
      <c r="AX30" t="s">
        <v>81</v>
      </c>
      <c r="AZ30" s="2"/>
      <c r="BB30" s="2"/>
      <c r="BD30" s="2"/>
      <c r="BE30" s="2"/>
      <c r="BG30" t="s">
        <v>82</v>
      </c>
      <c r="BI30" s="2"/>
      <c r="BK30" s="2"/>
      <c r="BM30" s="2"/>
      <c r="BO30" s="2"/>
      <c r="BQ30" s="2"/>
      <c r="BS30" s="2"/>
      <c r="BU30" t="s">
        <v>83</v>
      </c>
      <c r="BW30" s="2"/>
      <c r="BY30" s="2"/>
      <c r="CA30" s="2"/>
      <c r="CC30" s="2"/>
      <c r="CE30" s="2"/>
      <c r="CG30" s="2"/>
    </row>
    <row r="31" spans="1:85">
      <c r="B31" s="7" t="s">
        <v>84</v>
      </c>
      <c r="C31" s="8">
        <f>ajustes!B17</f>
        <v>0</v>
      </c>
      <c r="D31" s="203"/>
      <c r="E31" s="8">
        <f>+ajustes!C17</f>
        <v>0</v>
      </c>
      <c r="F31" s="203"/>
      <c r="G31" s="8">
        <f>+ajustes!D17</f>
        <v>0</v>
      </c>
      <c r="H31" s="203"/>
      <c r="I31" s="8">
        <f>+ajustes!E17</f>
        <v>0</v>
      </c>
      <c r="J31" s="203"/>
      <c r="K31" s="8">
        <f>SUM(C31,E31,G31,I31)</f>
        <v>0</v>
      </c>
      <c r="L31" s="203"/>
      <c r="N31" s="26"/>
      <c r="O31" s="2" t="s">
        <v>85</v>
      </c>
      <c r="P31" s="30"/>
      <c r="Q31" s="2" t="s">
        <v>86</v>
      </c>
      <c r="R31" s="30"/>
      <c r="S31" s="2" t="s">
        <v>87</v>
      </c>
      <c r="T31" s="30"/>
      <c r="U31" s="2" t="s">
        <v>88</v>
      </c>
      <c r="V31" s="30"/>
      <c r="W31" s="2" t="s">
        <v>89</v>
      </c>
      <c r="X31" s="30"/>
      <c r="Y31" s="2" t="s">
        <v>90</v>
      </c>
      <c r="Z31" s="30"/>
      <c r="AA31" s="2" t="s">
        <v>72</v>
      </c>
      <c r="AB31" s="30"/>
      <c r="AC31" s="275"/>
      <c r="AE31" s="7" t="s">
        <v>91</v>
      </c>
      <c r="AF31" s="203">
        <f>+ajustes!L17</f>
        <v>0</v>
      </c>
      <c r="AG31" s="203"/>
      <c r="AH31" s="203">
        <f>+ajustes!M17</f>
        <v>0</v>
      </c>
      <c r="AI31" s="203"/>
      <c r="AJ31" s="203">
        <f>+ajustes!N17</f>
        <v>0</v>
      </c>
      <c r="AK31" s="203"/>
      <c r="AL31" s="203">
        <f>+ajustes!O17</f>
        <v>0</v>
      </c>
      <c r="AM31" s="203"/>
      <c r="AN31" s="203">
        <f>ajustes!P17</f>
        <v>0</v>
      </c>
      <c r="AO31" s="203"/>
      <c r="AP31" s="203">
        <f>+ajustes!Q17</f>
        <v>0</v>
      </c>
      <c r="AQ31" s="203"/>
      <c r="AR31" s="203">
        <f>+ajustes!R17</f>
        <v>0</v>
      </c>
      <c r="AS31" s="203"/>
      <c r="AT31" s="203">
        <f>SUM(AF31,AH31,AJ31,AL31,AN31,AP31,AR31)</f>
        <v>0</v>
      </c>
      <c r="AU31" s="203"/>
      <c r="AX31" s="26"/>
      <c r="AY31" s="2" t="s">
        <v>92</v>
      </c>
      <c r="AZ31" s="30"/>
      <c r="BA31" s="2" t="s">
        <v>93</v>
      </c>
      <c r="BB31" s="30"/>
      <c r="BC31" s="2" t="s">
        <v>72</v>
      </c>
      <c r="BD31" s="30"/>
      <c r="BE31" s="30"/>
      <c r="BG31" s="26"/>
      <c r="BH31" s="2" t="s">
        <v>122</v>
      </c>
      <c r="BI31" s="30"/>
      <c r="BJ31" s="2" t="s">
        <v>94</v>
      </c>
      <c r="BK31" s="30"/>
      <c r="BL31" s="2" t="s">
        <v>95</v>
      </c>
      <c r="BM31" s="30"/>
      <c r="BN31" s="2" t="s">
        <v>96</v>
      </c>
      <c r="BO31" s="30"/>
      <c r="BP31" s="2" t="s">
        <v>97</v>
      </c>
      <c r="BQ31" s="30"/>
      <c r="BR31" s="2" t="s">
        <v>72</v>
      </c>
      <c r="BS31" s="30"/>
      <c r="BU31" s="26"/>
      <c r="BV31" s="2" t="s">
        <v>98</v>
      </c>
      <c r="BW31" s="30"/>
      <c r="BX31" s="2" t="s">
        <v>99</v>
      </c>
      <c r="BY31" s="30"/>
      <c r="BZ31" s="2" t="s">
        <v>100</v>
      </c>
      <c r="CA31" s="30"/>
      <c r="CB31" s="2" t="s">
        <v>101</v>
      </c>
      <c r="CC31" s="30"/>
      <c r="CD31" s="2" t="s">
        <v>102</v>
      </c>
      <c r="CE31" s="30"/>
      <c r="CF31" s="2" t="s">
        <v>72</v>
      </c>
      <c r="CG31" s="30"/>
    </row>
    <row r="32" spans="1:85">
      <c r="B32" s="7" t="s">
        <v>26</v>
      </c>
      <c r="C32" s="194">
        <f>BDER!$D158/1000+BDER!D169/1000+ajustes!B18</f>
        <v>0</v>
      </c>
      <c r="D32" s="219" t="str">
        <f>IF(C$32=0,"N.D.",C32/C$32)</f>
        <v>N.D.</v>
      </c>
      <c r="E32" s="8">
        <f>BDER!$D136/1000+ajustes!C18</f>
        <v>0</v>
      </c>
      <c r="F32" s="219" t="str">
        <f>IF(E$32=0,"N.D.",E32/E$32)</f>
        <v>N.D.</v>
      </c>
      <c r="G32" s="195">
        <f>BDER!$D202/1000+ajustes!D18</f>
        <v>0</v>
      </c>
      <c r="H32" s="219" t="str">
        <f>IF(G$32=0,"N.D.",G32/G$32)</f>
        <v>N.D.</v>
      </c>
      <c r="I32" s="8">
        <f>BDER!$D180/1000+ajustes!E18</f>
        <v>0</v>
      </c>
      <c r="J32" s="219" t="str">
        <f>IF(I$32=0,"N.D.",I32/I$32)</f>
        <v>N.D.</v>
      </c>
      <c r="K32" s="204">
        <f>SUM(C32,E32,G32,I32)</f>
        <v>0</v>
      </c>
      <c r="L32" s="219" t="str">
        <f>IF(K$32=0,"N.D.",K32/K$32)</f>
        <v>N.D.</v>
      </c>
      <c r="N32" s="7" t="s">
        <v>26</v>
      </c>
      <c r="O32" s="194">
        <f>BDER!$D4/1000+ajustes!F18</f>
        <v>29520.11526</v>
      </c>
      <c r="P32" s="220">
        <f>IF(O$32=0,"N.D.",O32/O$32)</f>
        <v>1</v>
      </c>
      <c r="Q32" s="8">
        <f>BDER!$D26/1000+ajustes!G18</f>
        <v>6265.66632</v>
      </c>
      <c r="R32" s="220">
        <f>IF(Q$32=0,"N.D.",Q32/Q$32)</f>
        <v>1</v>
      </c>
      <c r="S32" s="195">
        <f>BDER!$D48/1000+ajustes!H18</f>
        <v>27870.03077</v>
      </c>
      <c r="T32" s="220">
        <f>IF(S$32=0,"N.D.",S32/S$32)</f>
        <v>1</v>
      </c>
      <c r="U32" s="8">
        <f>BDER!$D70/1000+ajustes!I18</f>
        <v>3454.25534</v>
      </c>
      <c r="V32" s="220">
        <f>IF(U$32=0,"N.D.",U32/U$32)</f>
        <v>1</v>
      </c>
      <c r="W32" s="195">
        <f>BDER!$D92/1000+ajustes!J18</f>
        <v>325.8696</v>
      </c>
      <c r="X32" s="220">
        <f>IF(W$32=0,"N.D.",W32/W$32)</f>
        <v>1</v>
      </c>
      <c r="Y32" s="194">
        <f>BDER!$D114/1000+ajustes!K18</f>
        <v>264.06</v>
      </c>
      <c r="Z32" s="220">
        <f>IF(Y$32=0,"N.D.",Y32/Y$32)</f>
        <v>1</v>
      </c>
      <c r="AA32" s="8">
        <f>SUM(O32,Q32,S32,U32,W32,Y32)-AC32</f>
        <v>53292.74775</v>
      </c>
      <c r="AB32" s="220">
        <f>IF(AA$32=0,"N.D.",AA32/AA$32)</f>
        <v>1</v>
      </c>
      <c r="AC32" s="276">
        <f>(ELIM!D2+ELIM!D4+ELIM!D6+ELIM!D8+ELIM!D10)/1000</f>
        <v>14407.24954</v>
      </c>
      <c r="AE32" s="7" t="s">
        <v>26</v>
      </c>
      <c r="AF32" s="11">
        <f>BDER!$D288/1000+ajustes!L18+ajustes!L30</f>
        <v>52571.55324</v>
      </c>
      <c r="AG32" s="219">
        <f>IF(AF$32=0,"N.D.",AF32/AF$32)</f>
        <v>1</v>
      </c>
      <c r="AH32" s="11">
        <f>BDER!$D310/1000+ajustes!M18+ajustes!M30</f>
        <v>34577.60105</v>
      </c>
      <c r="AI32" s="219">
        <f>IF(AH$32=0,"N.D.",AH32/AH$32)</f>
        <v>1</v>
      </c>
      <c r="AJ32" s="11">
        <f>BDER!$D354/1000+ajustes!N18+ajustes!N30</f>
        <v>7055.53217</v>
      </c>
      <c r="AK32" s="219">
        <f>IF(AJ$32=0,"N.D.",AJ32/AJ$32)</f>
        <v>1</v>
      </c>
      <c r="AL32" s="11">
        <f>BDER!$D332/2000+ajustes!O18+ajustes!O30</f>
        <v>9354.988675</v>
      </c>
      <c r="AM32" s="219">
        <f>IF(AL$32=0,"N.D.",AL32/AL$32)</f>
        <v>1</v>
      </c>
      <c r="AN32" s="11">
        <f>ajustes!P18</f>
        <v>0</v>
      </c>
      <c r="AO32" s="219" t="str">
        <f>IF(AN$32=0,"N.D.",AN32/AN$32)</f>
        <v>N.D.</v>
      </c>
      <c r="AP32" s="11">
        <f>BDER!$D400/1000+ajustes!Q18+ajustes!Q30</f>
        <v>5092.05201</v>
      </c>
      <c r="AQ32" s="219">
        <f>IF(AP$32=0,"N.D.",AP32/AP$32)</f>
        <v>1</v>
      </c>
      <c r="AR32" s="11">
        <f>BDER!$D376/1000+ajustes!R18</f>
        <v>63863.55677</v>
      </c>
      <c r="AS32" s="219">
        <f>IF(AR$32=0,"N.D.",AR32/AR$32)</f>
        <v>1</v>
      </c>
      <c r="AT32" s="11">
        <f>SUM(AF32,AH32,AJ32,AL32,AP32,AR32,AN32)</f>
        <v>172515.283915</v>
      </c>
      <c r="AU32" s="219">
        <f>IF(AT$32=0,"N.D.",AT32/AT$32)</f>
        <v>1</v>
      </c>
      <c r="AX32" s="7" t="s">
        <v>26</v>
      </c>
      <c r="AY32" s="8">
        <f>BDER!$D444/1000+ajustes!S18</f>
        <v>6260.7734</v>
      </c>
      <c r="AZ32" s="220">
        <f>IF(AY$32=0,"N.D.",AY32/AY$32)</f>
        <v>1</v>
      </c>
      <c r="BA32" s="195">
        <f>BDER!$D422/1000+ajustes!T18</f>
        <v>1146.13636</v>
      </c>
      <c r="BB32" s="220">
        <f>IF(BA$32=0,"N.D.",BA32/BA$32)</f>
        <v>1</v>
      </c>
      <c r="BC32" s="8">
        <f>SUM(AY32,BA32)</f>
        <v>7406.90976</v>
      </c>
      <c r="BD32" s="220">
        <f>IF(BC$32=0,"N.D.",BC32/BC$32)</f>
        <v>1</v>
      </c>
      <c r="BE32" s="187"/>
      <c r="BG32" s="7" t="s">
        <v>103</v>
      </c>
      <c r="BH32" s="194">
        <f>BDER!$D$668/1000+ajustes!U18</f>
        <v>0</v>
      </c>
      <c r="BI32" s="220" t="str">
        <f>IF(BH$32=0,"N.D.",BH32/BH$32)</f>
        <v>N.D.</v>
      </c>
      <c r="BJ32" s="194">
        <f>BDER!$D466/1000+ajustes!V18</f>
        <v>310.46298</v>
      </c>
      <c r="BK32" s="220">
        <f>IF(BJ$32=0,"N.D.",BJ32/BJ$32)</f>
        <v>1</v>
      </c>
      <c r="BL32" s="8">
        <f>BDER!$D489/1000+ajustes!W18</f>
        <v>605.32353</v>
      </c>
      <c r="BM32" s="220">
        <f>IF(BL$32=0,"N.D.",BL32/BL$32)</f>
        <v>1</v>
      </c>
      <c r="BN32" s="195">
        <f>BDER!$D556/1000+ajustes!X18</f>
        <v>274.95384</v>
      </c>
      <c r="BO32" s="220">
        <f>IF(BN$32=0,"N.D.",BN32/BN$32)</f>
        <v>1</v>
      </c>
      <c r="BP32" s="8">
        <f>BDER!$D601/1000+ajustes!Y18</f>
        <v>385.38668</v>
      </c>
      <c r="BQ32" s="220">
        <f>IF(BP$32=0,"N.D.",BP32/BP$32)</f>
        <v>1</v>
      </c>
      <c r="BR32" s="204">
        <f>SUM(BJ32,BL32,BN32,BP32)+BH32</f>
        <v>1576.12703</v>
      </c>
      <c r="BS32" s="220">
        <f>IF(BR$32=0,"N.D.",BR32/BR$32)</f>
        <v>1</v>
      </c>
      <c r="BU32" s="7" t="s">
        <v>103</v>
      </c>
      <c r="BV32" s="194">
        <f>BDER!$D512/1000+ajustes!Z18</f>
        <v>44.33289</v>
      </c>
      <c r="BW32" s="220">
        <f>IF(BV$32=0,"N.D.",BV32/BV$32)</f>
        <v>1</v>
      </c>
      <c r="BX32" s="8">
        <f>BDER!$D579/1000+ajustes!AA18</f>
        <v>29.85459</v>
      </c>
      <c r="BY32" s="220">
        <f>IF(BX$32=0,"N.D.",BX32/BX$32)</f>
        <v>1</v>
      </c>
      <c r="BZ32" s="195">
        <f>BDER!$D624/1000+ajustes!AB18</f>
        <v>19.98428</v>
      </c>
      <c r="CA32" s="220">
        <f>IF(BZ$32=0,"N.D.",BZ32/BZ$32)</f>
        <v>1</v>
      </c>
      <c r="CB32" s="8">
        <f>BDER!$D534/1000+ajustes!AC18</f>
        <v>3.743</v>
      </c>
      <c r="CC32" s="220">
        <f>IF(CB$32=0,"N.D.",CB32/CB$32)</f>
        <v>1</v>
      </c>
      <c r="CD32" s="204">
        <f>BDER!$D646/1000+ajustes!AD18</f>
        <v>5.183</v>
      </c>
      <c r="CE32" s="220">
        <f>IF(CD$32=0,"N.D.",CD32/CD$32)</f>
        <v>1</v>
      </c>
      <c r="CF32" s="204">
        <f>SUM(BV32,BX32,BZ32,CB32,CD32)</f>
        <v>103.09776</v>
      </c>
      <c r="CG32" s="220">
        <f>IF(CF$32=0,"N.D.",CF32/CF$32)</f>
        <v>1</v>
      </c>
    </row>
    <row r="33" spans="1:85">
      <c r="B33" s="7" t="s">
        <v>27</v>
      </c>
      <c r="C33" s="196">
        <f>BDER!$D159/1000+ajustes!B19</f>
        <v>0</v>
      </c>
      <c r="D33" s="219" t="str">
        <f>IF(C$32=0,"N.D.",C33/C$32)</f>
        <v>N.D.</v>
      </c>
      <c r="E33" s="34">
        <f>BDER!$D137/1000+ajustes!C19</f>
        <v>0</v>
      </c>
      <c r="F33" s="219" t="str">
        <f>IF(E$32=0,"N.D.",E33/E$32)</f>
        <v>N.D.</v>
      </c>
      <c r="G33" s="197">
        <f>BDER!$D203/1000+ajustes!D19</f>
        <v>0</v>
      </c>
      <c r="H33" s="219" t="str">
        <f>IF(G$32=0,"N.D.",G33/G$32)</f>
        <v>N.D.</v>
      </c>
      <c r="I33" s="34">
        <f>BDER!$D181/1000+ajustes!E19</f>
        <v>0</v>
      </c>
      <c r="J33" s="219" t="str">
        <f>IF(I$32=0,"N.D.",I33/I$32)</f>
        <v>N.D.</v>
      </c>
      <c r="K33" s="207">
        <f>SUM(C33,E33,G33,I33)</f>
        <v>0</v>
      </c>
      <c r="L33" s="219" t="str">
        <f>IF(K$32=0,"N.D.",K33/K$32)</f>
        <v>N.D.</v>
      </c>
      <c r="N33" s="7" t="s">
        <v>27</v>
      </c>
      <c r="O33" s="196">
        <f>BDER!$D5/1000+ajustes!F19</f>
        <v>10010.61952</v>
      </c>
      <c r="P33" s="219">
        <f>IF(O$32=0,"N.D.",O33/O$32)</f>
        <v>0.33911180331889</v>
      </c>
      <c r="Q33" s="34">
        <f>BDER!$D27/1000+ajustes!G19</f>
        <v>3392.02875</v>
      </c>
      <c r="R33" s="219">
        <f>IF(Q$32=0,"N.D.",Q33/Q$32)</f>
        <v>0.54136760190575</v>
      </c>
      <c r="S33" s="197">
        <f>BDER!$D49/1000+ajustes!H19</f>
        <v>22942.53861</v>
      </c>
      <c r="T33" s="219">
        <f>IF(S$32=0,"N.D.",S33/S$32)</f>
        <v>0.82319746251217</v>
      </c>
      <c r="U33" s="34">
        <f>BDER!$D71/1000+ajustes!I19</f>
        <v>0</v>
      </c>
      <c r="V33" s="219">
        <f>IF(U$32=0,"N.D.",U33/U$32)</f>
        <v>0</v>
      </c>
      <c r="W33" s="197">
        <f>BDER!$D93/1000+ajustes!J19</f>
        <v>210.03906</v>
      </c>
      <c r="X33" s="219">
        <f>IF(W$32=0,"N.D.",W33/W$32)</f>
        <v>0.64454941485797</v>
      </c>
      <c r="Y33" s="196">
        <f>BDER!$D115/1000+ajustes!K19</f>
        <v>0</v>
      </c>
      <c r="Z33" s="219">
        <f>IF(Y$32=0,"N.D.",Y33/Y$32)</f>
        <v>0</v>
      </c>
      <c r="AA33" s="34">
        <f>SUM(O33,Q33,S33,U33,W33,Y33)-AC33</f>
        <v>27361.20147</v>
      </c>
      <c r="AB33" s="219">
        <f>IF(AA$32=0,"N.D.",AA33/AA$32)</f>
        <v>0.51341322459771</v>
      </c>
      <c r="AC33" s="276">
        <f>ELIM!D4/1000</f>
        <v>9194.02447</v>
      </c>
      <c r="AE33" s="7" t="s">
        <v>27</v>
      </c>
      <c r="AF33" s="34">
        <f>BDER!$D291/1000+ajustes!L19</f>
        <v>43447.64004</v>
      </c>
      <c r="AG33" s="219">
        <f>IF(AF$32=0,"N.D.",AF33/AF$32)</f>
        <v>0.82644771482502</v>
      </c>
      <c r="AH33" s="34">
        <f>BDER!$D313/1000+ajustes!M19</f>
        <v>21350.56033</v>
      </c>
      <c r="AI33" s="219">
        <f>IF(AH$32=0,"N.D.",AH33/AH$32)</f>
        <v>0.61746794692687</v>
      </c>
      <c r="AJ33" s="34">
        <f>BDER!$D357/1000+ajustes!N19</f>
        <v>4203.54971</v>
      </c>
      <c r="AK33" s="219">
        <f>IF(AJ$32=0,"N.D.",AJ33/AJ$32)</f>
        <v>0.59578067376312</v>
      </c>
      <c r="AL33" s="34">
        <f>BDER!$D335/2000+ajustes!O19</f>
        <v>5243.8105</v>
      </c>
      <c r="AM33" s="219">
        <f>IF(AL$32=0,"N.D.",AL33/AL$32)</f>
        <v>0.56053627451345</v>
      </c>
      <c r="AN33" s="34">
        <f>ajustes!P19</f>
        <v>0</v>
      </c>
      <c r="AO33" s="219" t="str">
        <f>IF(AN$32=0,"N.D.",AN33/AN$32)</f>
        <v>N.D.</v>
      </c>
      <c r="AP33" s="34">
        <f>BDER!$D401/1000+ajustes!Q19</f>
        <v>3185.31467</v>
      </c>
      <c r="AQ33" s="219">
        <f>IF(AP$32=0,"N.D.",AP33/AP$32)</f>
        <v>0.6255463737889</v>
      </c>
      <c r="AR33" s="34">
        <f>BDER!$D379/1000+ajustes!R19</f>
        <v>54520.26597</v>
      </c>
      <c r="AS33" s="219">
        <f>IF(AR$32=0,"N.D.",AR33/AR$32)</f>
        <v>0.85369917880319</v>
      </c>
      <c r="AT33" s="34">
        <f>SUM(AF33,AH33,AJ33,AL33,AP33,AR33,AN33)</f>
        <v>131951.14122</v>
      </c>
      <c r="AU33" s="219">
        <f>IF(AT$32=0,"N.D.",AT33/AT$32)</f>
        <v>0.76486638299835</v>
      </c>
      <c r="AX33" s="7" t="s">
        <v>27</v>
      </c>
      <c r="AY33" s="34">
        <f>BDER!$D445/1000+ajustes!S19</f>
        <v>3000.36926</v>
      </c>
      <c r="AZ33" s="219">
        <f>IF(AY$32=0,"N.D.",AY33/AY$32)</f>
        <v>0.47923300658031</v>
      </c>
      <c r="BA33" s="197">
        <f>BDER!$D423/1000+ajustes!T19</f>
        <v>875.76267</v>
      </c>
      <c r="BB33" s="219">
        <f>IF(BA$32=0,"N.D.",BA33/BA$32)</f>
        <v>0.76409989296562</v>
      </c>
      <c r="BC33" s="34">
        <f>SUM(AY33,BA33)</f>
        <v>3876.13193</v>
      </c>
      <c r="BD33" s="219">
        <f>IF(BC$32=0,"N.D.",BC33/BC$32)</f>
        <v>0.52331296797114</v>
      </c>
      <c r="BE33" s="187"/>
      <c r="BG33" s="7" t="s">
        <v>104</v>
      </c>
      <c r="BH33" s="196">
        <f>BDER!$D$669/1000+ajustes!U19</f>
        <v>0</v>
      </c>
      <c r="BI33" s="219" t="str">
        <f>IF(BH$32=0,"N.D.",BH33/BH$32)</f>
        <v>N.D.</v>
      </c>
      <c r="BJ33" s="196">
        <f>BDER!$D467/1000+ajustes!V19</f>
        <v>100.60966</v>
      </c>
      <c r="BK33" s="219">
        <f>IF(BJ$32=0,"N.D.",BJ33/BJ$32)</f>
        <v>0.3240633070004</v>
      </c>
      <c r="BL33" s="34">
        <f>BDER!$D490/1000+ajustes!W19</f>
        <v>174.99967</v>
      </c>
      <c r="BM33" s="219">
        <f>IF(BL$32=0,"N.D.",BL33/BL$32)</f>
        <v>0.28910105311783</v>
      </c>
      <c r="BN33" s="197">
        <f>BDER!$D557/1000+ajustes!X19</f>
        <v>80.62646</v>
      </c>
      <c r="BO33" s="219">
        <f>IF(BN$32=0,"N.D.",BN33/BN$32)</f>
        <v>0.29323634832669</v>
      </c>
      <c r="BP33" s="34">
        <f>BDER!$D602/1000+ajustes!Y19</f>
        <v>116.85126</v>
      </c>
      <c r="BQ33" s="219">
        <f>IF(BP$32=0,"N.D.",BP33/BP$32)</f>
        <v>0.30320523791845</v>
      </c>
      <c r="BR33" s="207">
        <f>SUM(BJ33,BL33,BN33,BP33)+BH33</f>
        <v>473.08705</v>
      </c>
      <c r="BS33" s="219">
        <f>IF(BR$32=0,"N.D.",BR33/BR$32)</f>
        <v>0.30015794475652</v>
      </c>
      <c r="BU33" s="7" t="s">
        <v>104</v>
      </c>
      <c r="BV33" s="196">
        <f>BDER!$D513/1000+ajustes!Z19</f>
        <v>0</v>
      </c>
      <c r="BW33" s="219">
        <f>IF(BV$32=0,"N.D.",BV33/BV$32)</f>
        <v>0</v>
      </c>
      <c r="BX33" s="34">
        <f>BDER!$D580/1000+ajustes!AA19</f>
        <v>0</v>
      </c>
      <c r="BY33" s="219">
        <f>IF(BX$32=0,"N.D.",BX33/BX$32)</f>
        <v>0</v>
      </c>
      <c r="BZ33" s="197">
        <f>BDER!$D625/1000+ajustes!AB19</f>
        <v>0</v>
      </c>
      <c r="CA33" s="219">
        <f>IF(BZ$32=0,"N.D.",BZ33/BZ$32)</f>
        <v>0</v>
      </c>
      <c r="CB33" s="34">
        <f>BDER!$D535/1000+ajustes!AC19</f>
        <v>0</v>
      </c>
      <c r="CC33" s="219">
        <f>IF(CB$32=0,"N.D.",CB33/CB$32)</f>
        <v>0</v>
      </c>
      <c r="CD33" s="207">
        <f>BDER!$D647/1000+ajustes!AD19</f>
        <v>0</v>
      </c>
      <c r="CE33" s="219">
        <f>IF(CD$32=0,"N.D.",CD33/CD$32)</f>
        <v>0</v>
      </c>
      <c r="CF33" s="207">
        <f>SUM(BV33,BX33,BZ33,CB33,CD33)</f>
        <v>0</v>
      </c>
      <c r="CG33" s="219">
        <f>IF(CF$32=0,"N.D.",CF33/CF$32)</f>
        <v>0</v>
      </c>
    </row>
    <row r="34" spans="1:85">
      <c r="B34" s="4" t="s">
        <v>28</v>
      </c>
      <c r="C34" s="212">
        <f>C32-C33</f>
        <v>0</v>
      </c>
      <c r="D34" s="22" t="str">
        <f>IF(C$32=0,"N.D.",C34/C$32)</f>
        <v>N.D.</v>
      </c>
      <c r="E34" s="200">
        <f>E32-E33</f>
        <v>0</v>
      </c>
      <c r="F34" s="22" t="str">
        <f>IF(E$32=0,"N.D.",E34/E$32)</f>
        <v>N.D.</v>
      </c>
      <c r="G34" s="209">
        <f>G32-G33</f>
        <v>0</v>
      </c>
      <c r="H34" s="22" t="str">
        <f>IF(G$32=0,"N.D.",G34/G$32)</f>
        <v>N.D.</v>
      </c>
      <c r="I34" s="200">
        <f>I32-I33</f>
        <v>0</v>
      </c>
      <c r="J34" s="22" t="str">
        <f>IF(I$32=0,"N.D.",I34/I$32)</f>
        <v>N.D.</v>
      </c>
      <c r="K34" s="210">
        <f>K32-K33</f>
        <v>0</v>
      </c>
      <c r="L34" s="22" t="str">
        <f>IF(K$32=0,"N.D.",K34/K$32)</f>
        <v>N.D.</v>
      </c>
      <c r="N34" s="4" t="s">
        <v>28</v>
      </c>
      <c r="O34" s="216">
        <f>O32-O33</f>
        <v>19509.49574</v>
      </c>
      <c r="P34" s="22">
        <f>IF(O$32=0,"N.D.",O34/O$32)</f>
        <v>0.66088819668111</v>
      </c>
      <c r="Q34" s="208">
        <f>Q32-Q33</f>
        <v>2873.63757</v>
      </c>
      <c r="R34" s="22">
        <f>IF(Q$32=0,"N.D.",Q34/Q$32)</f>
        <v>0.45863239809425</v>
      </c>
      <c r="S34" s="202">
        <f>S32-S33</f>
        <v>4927.49216</v>
      </c>
      <c r="T34" s="22">
        <f>IF(S$32=0,"N.D.",S34/S$32)</f>
        <v>0.17680253748783</v>
      </c>
      <c r="U34" s="208">
        <f>U32-U33</f>
        <v>3454.25534</v>
      </c>
      <c r="V34" s="22">
        <f>IF(U$32=0,"N.D.",U34/U$32)</f>
        <v>1</v>
      </c>
      <c r="W34" s="202">
        <f>W32-W33</f>
        <v>115.83054</v>
      </c>
      <c r="X34" s="22">
        <f>IF(W$32=0,"N.D.",W34/W$32)</f>
        <v>0.35545058514203</v>
      </c>
      <c r="Y34" s="208">
        <f>Y32-Y33</f>
        <v>264.06</v>
      </c>
      <c r="Z34" s="22">
        <f>IF(Y$32=0,"N.D.",Y34/Y$32)</f>
        <v>1</v>
      </c>
      <c r="AA34" s="213">
        <f>AA32-AA33</f>
        <v>25931.54628</v>
      </c>
      <c r="AB34" s="22">
        <f>IF(AA$32=0,"N.D.",AA34/AA$32)</f>
        <v>0.48658677540229</v>
      </c>
      <c r="AC34" s="277"/>
      <c r="AE34" s="4" t="s">
        <v>28</v>
      </c>
      <c r="AF34" s="20">
        <f>AF32-AF33</f>
        <v>9123.9132</v>
      </c>
      <c r="AG34" s="22">
        <f>IF(AF$32=0,"N.D.",AF34/AF$32)</f>
        <v>0.17355228517498</v>
      </c>
      <c r="AH34" s="20">
        <f>AH32-AH33</f>
        <v>13227.04072</v>
      </c>
      <c r="AI34" s="22">
        <f>IF(AH$32=0,"N.D.",AH34/AH$32)</f>
        <v>0.38253205307313</v>
      </c>
      <c r="AJ34" s="20">
        <f>AJ32-AJ33</f>
        <v>2851.98246</v>
      </c>
      <c r="AK34" s="22">
        <f>IF(AJ$32=0,"N.D.",AJ34/AJ$32)</f>
        <v>0.40421932623688</v>
      </c>
      <c r="AL34" s="20">
        <f>AL32-AL33</f>
        <v>4111.178175</v>
      </c>
      <c r="AM34" s="22">
        <f>IF(AL$32=0,"N.D.",AL34/AL$32)</f>
        <v>0.43946372548655</v>
      </c>
      <c r="AN34" s="20">
        <f>AN32-AN33</f>
        <v>0</v>
      </c>
      <c r="AO34" s="22" t="str">
        <f>IF(AN$32=0,"N.D.",AN34/AN$32)</f>
        <v>N.D.</v>
      </c>
      <c r="AP34" s="20">
        <f>AP32-AP33</f>
        <v>1906.73734</v>
      </c>
      <c r="AQ34" s="22">
        <f>IF(AP$32=0,"N.D.",AP34/AP$32)</f>
        <v>0.3744536262111</v>
      </c>
      <c r="AR34" s="20">
        <f>AR32-AR33</f>
        <v>9343.2908</v>
      </c>
      <c r="AS34" s="22">
        <f>IF(AR$32=0,"N.D.",AR34/AR$32)</f>
        <v>0.14630082119681</v>
      </c>
      <c r="AT34" s="20">
        <f>AT32-AT33</f>
        <v>40564.142695</v>
      </c>
      <c r="AU34" s="22">
        <f>IF(AT$32=0,"N.D.",AT34/AT$32)</f>
        <v>0.23513361700165</v>
      </c>
      <c r="AX34" s="4" t="s">
        <v>28</v>
      </c>
      <c r="AY34" s="20">
        <f>AY32-AY33</f>
        <v>3260.40414</v>
      </c>
      <c r="AZ34" s="22">
        <f>IF(AY$32=0,"N.D.",AY34/AY$32)</f>
        <v>0.52076699341969</v>
      </c>
      <c r="BA34" s="20">
        <f>BA32-BA33</f>
        <v>270.37369</v>
      </c>
      <c r="BB34" s="22">
        <f>IF(BA$32=0,"N.D.",BA34/BA$32)</f>
        <v>0.23590010703438</v>
      </c>
      <c r="BC34" s="20">
        <f>BC32-BC33</f>
        <v>3530.77783</v>
      </c>
      <c r="BD34" s="22">
        <f>IF(BC$32=0,"N.D.",BC34/BC$32)</f>
        <v>0.47668703202886</v>
      </c>
      <c r="BE34" s="221"/>
      <c r="BG34" s="4" t="s">
        <v>105</v>
      </c>
      <c r="BH34" s="14">
        <f>BH32-BH33</f>
        <v>0</v>
      </c>
      <c r="BI34" s="22" t="str">
        <f>IF(BH$32=0,"N.D.",BH34/BH$32)</f>
        <v>N.D.</v>
      </c>
      <c r="BJ34" s="20">
        <f>BJ32-BJ33</f>
        <v>209.85332</v>
      </c>
      <c r="BK34" s="22">
        <f>IF(BJ$32=0,"N.D.",BJ34/BJ$32)</f>
        <v>0.6759366929996</v>
      </c>
      <c r="BL34" s="20">
        <f>BL32-BL33</f>
        <v>430.32386</v>
      </c>
      <c r="BM34" s="22">
        <f>IF(BL$32=0,"N.D.",BL34/BL$32)</f>
        <v>0.71089894688217</v>
      </c>
      <c r="BN34" s="20">
        <f>BN32-BN33</f>
        <v>194.32738</v>
      </c>
      <c r="BO34" s="22">
        <f>IF(BN$32=0,"N.D.",BN34/BN$32)</f>
        <v>0.70676365167331</v>
      </c>
      <c r="BP34" s="20">
        <f>BP32-BP33</f>
        <v>268.53542</v>
      </c>
      <c r="BQ34" s="22">
        <f>IF(BP$32=0,"N.D.",BP34/BP$32)</f>
        <v>0.69679476208155</v>
      </c>
      <c r="BR34" s="14">
        <f>BR32-BR33</f>
        <v>1103.03998</v>
      </c>
      <c r="BS34" s="22">
        <f>IF(BR$32=0,"N.D.",BR34/BR$32)</f>
        <v>0.69984205524348</v>
      </c>
      <c r="BU34" s="4" t="s">
        <v>105</v>
      </c>
      <c r="BV34" s="20">
        <f>BV32-BV33</f>
        <v>44.33289</v>
      </c>
      <c r="BW34" s="22">
        <f>IF(BV$32=0,"N.D.",BV34/BV$32)</f>
        <v>1</v>
      </c>
      <c r="BX34" s="20">
        <f>BX32-BX33</f>
        <v>29.85459</v>
      </c>
      <c r="BY34" s="22">
        <f>IF(BX$32=0,"N.D.",BX34/BX$32)</f>
        <v>1</v>
      </c>
      <c r="BZ34" s="20">
        <f>BZ32-BZ33</f>
        <v>19.98428</v>
      </c>
      <c r="CA34" s="22">
        <f>IF(BZ$32=0,"N.D.",BZ34/BZ$32)</f>
        <v>1</v>
      </c>
      <c r="CB34" s="20">
        <f>CB32-CB33</f>
        <v>3.743</v>
      </c>
      <c r="CC34" s="22">
        <f>IF(CB$32=0,"N.D.",CB34/CB$32)</f>
        <v>1</v>
      </c>
      <c r="CD34" s="20">
        <f>CD32-CD33</f>
        <v>5.183</v>
      </c>
      <c r="CE34" s="22">
        <f>IF(CD$32=0,"N.D.",CD34/CD$32)</f>
        <v>1</v>
      </c>
      <c r="CF34" s="20">
        <f>CF32-CF33</f>
        <v>103.09776</v>
      </c>
      <c r="CG34" s="22">
        <f>IF(CF$32=0,"N.D.",CF34/CF$32)</f>
        <v>1</v>
      </c>
    </row>
    <row r="35" spans="1:85">
      <c r="B35" s="1"/>
      <c r="C35" s="217"/>
      <c r="D35" s="30"/>
      <c r="E35" s="217"/>
      <c r="F35" s="30"/>
      <c r="G35" s="217"/>
      <c r="H35" s="30"/>
      <c r="I35" s="217"/>
      <c r="J35" s="30"/>
      <c r="K35" s="217"/>
      <c r="L35" s="30"/>
      <c r="N35" s="1"/>
      <c r="O35" s="217"/>
      <c r="P35" s="30"/>
      <c r="Q35" s="217"/>
      <c r="R35" s="30"/>
      <c r="S35" s="217"/>
      <c r="T35" s="30"/>
      <c r="U35" s="217"/>
      <c r="V35" s="30"/>
      <c r="W35" s="217"/>
      <c r="X35" s="30"/>
      <c r="Y35" s="217"/>
      <c r="Z35" s="30"/>
      <c r="AA35" s="217"/>
      <c r="AB35" s="30"/>
      <c r="AC35" s="275"/>
      <c r="AE35" s="1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X35" s="1"/>
      <c r="AY35" s="30"/>
      <c r="AZ35" s="30"/>
      <c r="BA35" s="30"/>
      <c r="BB35" s="30"/>
      <c r="BC35" s="30"/>
      <c r="BD35" s="30"/>
      <c r="BE35" s="30"/>
      <c r="BG35" s="1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U35" s="1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</row>
    <row r="36" spans="1:85">
      <c r="B36" s="7" t="s">
        <v>29</v>
      </c>
      <c r="C36" s="198">
        <f>BDER!$D161/1000+ajustes!B20</f>
        <v>0</v>
      </c>
      <c r="D36" s="220" t="str">
        <f>IF(C$32=0,"N.D.",C36/C$32)</f>
        <v>N.D.</v>
      </c>
      <c r="E36" s="11">
        <f>BDER!$D139/1000+ajustes!C20</f>
        <v>0.675</v>
      </c>
      <c r="F36" s="220" t="str">
        <f>IF(E$32=0,"N.D.",E36/E$32)</f>
        <v>N.D.</v>
      </c>
      <c r="G36" s="30">
        <f>BDER!$D205/1000+ajustes!D20</f>
        <v>0</v>
      </c>
      <c r="H36" s="220" t="str">
        <f>IF(G$32=0,"N.D.",G36/G$32)</f>
        <v>N.D.</v>
      </c>
      <c r="I36" s="11">
        <f>BDER!$D183/1000+ajustes!E20</f>
        <v>0</v>
      </c>
      <c r="J36" s="220" t="str">
        <f>IF(I$32=0,"N.D.",I36/I$32)</f>
        <v>N.D.</v>
      </c>
      <c r="K36" s="206">
        <f>SUM(C36,E36,G36,I36)</f>
        <v>0.675</v>
      </c>
      <c r="L36" s="220" t="str">
        <f>IF(K$32=0,"N.D.",K36/K$32)</f>
        <v>N.D.</v>
      </c>
      <c r="N36" s="7" t="s">
        <v>29</v>
      </c>
      <c r="O36" s="198">
        <f>BDER!$D7/1000+ajustes!F20</f>
        <v>11909.22109</v>
      </c>
      <c r="P36" s="220">
        <f>IF(O$32=0,"N.D.",O36/O$32)</f>
        <v>0.40342732354223</v>
      </c>
      <c r="Q36" s="11">
        <f>BDER!$D29/1000+ajustes!G20</f>
        <v>0</v>
      </c>
      <c r="R36" s="220">
        <f>IF(Q$32=0,"N.D.",Q36/Q$32)</f>
        <v>0</v>
      </c>
      <c r="S36" s="30">
        <f>BDER!$D51/1000+ajustes!H20</f>
        <v>2705.38264</v>
      </c>
      <c r="T36" s="220">
        <f>IF(S$32=0,"N.D.",S36/S$32)</f>
        <v>0.097071390495634</v>
      </c>
      <c r="U36" s="11">
        <f>BDER!$D73/1000+ajustes!I20</f>
        <v>0</v>
      </c>
      <c r="V36" s="220">
        <f>IF(U$32=0,"N.D.",U36/U$32)</f>
        <v>0</v>
      </c>
      <c r="W36" s="30">
        <f>BDER!$D95/1000+ajustes!J20</f>
        <v>0</v>
      </c>
      <c r="X36" s="220">
        <f>IF(W$32=0,"N.D.",W36/W$32)</f>
        <v>0</v>
      </c>
      <c r="Y36" s="11">
        <f>BDER!$D117/1000+ajustes!K20</f>
        <v>0</v>
      </c>
      <c r="Z36" s="220">
        <f>IF(Y$32=0,"N.D.",Y36/Y$32)</f>
        <v>0</v>
      </c>
      <c r="AA36" s="206">
        <f>SUM(O36,Q36,S36,U36,W36,Y36)-AC36</f>
        <v>12855.634</v>
      </c>
      <c r="AB36" s="220">
        <f>IF(AA$32=0,"N.D.",AA36/AA$32)</f>
        <v>0.24122670612344</v>
      </c>
      <c r="AC36" s="276">
        <f>(ELIM!D2+ELIM!D8+ELIM!D10)/1000</f>
        <v>1758.96973</v>
      </c>
      <c r="AE36" s="7" t="s">
        <v>29</v>
      </c>
      <c r="AF36" s="8">
        <f>BDER!$D293/1000+ajustes!L20</f>
        <v>4154.78793</v>
      </c>
      <c r="AG36" s="220">
        <f>IF(AF$32=0,"N.D.",AF36/AF$32)</f>
        <v>0.079031104731347</v>
      </c>
      <c r="AH36" s="8">
        <f>BDER!$D315/1000+ajustes!M20</f>
        <v>7349.6966</v>
      </c>
      <c r="AI36" s="220">
        <f>IF(AH$32=0,"N.D.",AH36/AH$32)</f>
        <v>0.21255657931191</v>
      </c>
      <c r="AJ36" s="8">
        <f>BDER!$D359/1000+ajustes!N20</f>
        <v>3799.53977</v>
      </c>
      <c r="AK36" s="220">
        <f>IF(AJ$32=0,"N.D.",AJ36/AJ$32)</f>
        <v>0.53851923263217</v>
      </c>
      <c r="AL36" s="8">
        <f>BDER!$D337/2000+ajustes!O20</f>
        <v>1860.872665</v>
      </c>
      <c r="AM36" s="220">
        <f>IF(AL$32=0,"N.D.",AL36/AL$32)</f>
        <v>0.19891768228143</v>
      </c>
      <c r="AN36" s="8">
        <f>ajustes!P20</f>
        <v>0</v>
      </c>
      <c r="AO36" s="220" t="str">
        <f>IF(AN$32=0,"N.D.",AN36/AN$32)</f>
        <v>N.D.</v>
      </c>
      <c r="AP36" s="8">
        <f>BDER!$D403/1000+ajustes!Q20</f>
        <v>1165.66342</v>
      </c>
      <c r="AQ36" s="220">
        <f>IF(AP$32=0,"N.D.",AP36/AP$32)</f>
        <v>0.22891820776984</v>
      </c>
      <c r="AR36" s="8">
        <f>BDER!$D381/1000+ajustes!R20</f>
        <v>3001.95005</v>
      </c>
      <c r="AS36" s="220">
        <f>IF(AR$32=0,"N.D.",AR36/AR$32)</f>
        <v>0.047005682142185</v>
      </c>
      <c r="AT36" s="8">
        <f>SUM(AF36,AH36,AJ36,AL36,AP36,AR36,AN36)</f>
        <v>21332.510435</v>
      </c>
      <c r="AU36" s="220">
        <f>IF(AT$32=0,"N.D.",AT36/AT$32)</f>
        <v>0.12365577096062</v>
      </c>
      <c r="AX36" s="7" t="s">
        <v>29</v>
      </c>
      <c r="AY36" s="8">
        <f>BDER!$D447/1000+ajustes!S20</f>
        <v>48.372</v>
      </c>
      <c r="AZ36" s="220">
        <f>IF(AY$32=0,"N.D.",AY36/AY$32)</f>
        <v>0.00772620200565</v>
      </c>
      <c r="BA36" s="204">
        <f>BDER!$D425/1000+ajustes!T20</f>
        <v>0</v>
      </c>
      <c r="BB36" s="220">
        <f>IF(BA$32=0,"N.D.",BA36/BA$32)</f>
        <v>0</v>
      </c>
      <c r="BC36" s="204">
        <f>SUM(AY36,BA36)</f>
        <v>48.372</v>
      </c>
      <c r="BD36" s="220">
        <f>IF(BC$32=0,"N.D.",BC36/BC$32)</f>
        <v>0.0065306587453281</v>
      </c>
      <c r="BE36" s="187"/>
      <c r="BG36" s="7" t="s">
        <v>106</v>
      </c>
      <c r="BH36" s="194">
        <f>BDER!$D$672/1000+ajustes!U20</f>
        <v>0</v>
      </c>
      <c r="BI36" s="220" t="str">
        <f>IF(BH$32=0,"N.D.",BH36/BH$32)</f>
        <v>N.D.</v>
      </c>
      <c r="BJ36" s="194">
        <f>BDER!$D470/1000+ajustes!V20</f>
        <v>186.79788</v>
      </c>
      <c r="BK36" s="220">
        <f>IF(BJ$32=0,"N.D.",BJ36/BJ$32)</f>
        <v>0.60167521422361</v>
      </c>
      <c r="BL36" s="8">
        <f>BDER!$D493/1000+ajustes!W20</f>
        <v>393.12998</v>
      </c>
      <c r="BM36" s="220">
        <f>IF(BL$32=0,"N.D.",BL36/BL$32)</f>
        <v>0.64945431742923</v>
      </c>
      <c r="BN36" s="195">
        <f>BDER!$D560/1000+ajustes!X20</f>
        <v>150.45585</v>
      </c>
      <c r="BO36" s="220">
        <f>IF(BN$32=0,"N.D.",BN36/BN$32)</f>
        <v>0.54720403250233</v>
      </c>
      <c r="BP36" s="8">
        <f>BDER!$D605/1000+ajustes!Y20</f>
        <v>230.56626</v>
      </c>
      <c r="BQ36" s="220">
        <f>IF(BP$32=0,"N.D.",BP36/BP$32)</f>
        <v>0.59827251943425</v>
      </c>
      <c r="BR36" s="204">
        <f>SUM(BJ36,BL36,BN36,BP36)+BH36</f>
        <v>960.94997</v>
      </c>
      <c r="BS36" s="220">
        <f>IF(BR$32=0,"N.D.",BR36/BR$32)</f>
        <v>0.60969068590874</v>
      </c>
      <c r="BU36" s="7" t="s">
        <v>106</v>
      </c>
      <c r="BV36" s="194">
        <f>BDER!$D515/1000+ajustes!Z20</f>
        <v>10.7103</v>
      </c>
      <c r="BW36" s="220">
        <f>IF(BV$32=0,"N.D.",BV36/BV$32)</f>
        <v>0.24158813016702</v>
      </c>
      <c r="BX36" s="8">
        <f>BDER!$D582/1000+ajustes!AA20</f>
        <v>9.37068</v>
      </c>
      <c r="BY36" s="220">
        <f>IF(BX$32=0,"N.D.",BX36/BX$32)</f>
        <v>0.31387736358128</v>
      </c>
      <c r="BZ36" s="195">
        <f>BDER!$D627/1000+ajustes!AB20</f>
        <v>1.52642</v>
      </c>
      <c r="CA36" s="220">
        <f>IF(BZ$32=0,"N.D.",BZ36/BZ$32)</f>
        <v>0.076381035493898</v>
      </c>
      <c r="CB36" s="8">
        <f>BDER!$D537/1000+ajustes!AC20</f>
        <v>0.0152</v>
      </c>
      <c r="CC36" s="220">
        <f>IF(CB$32=0,"N.D.",CB36/CB$32)</f>
        <v>0.0040609137055838</v>
      </c>
      <c r="CD36" s="204">
        <f>BDER!$D649/1000+ajustes!AD20</f>
        <v>0</v>
      </c>
      <c r="CE36" s="220">
        <f>IF(CD$32=0,"N.D.",CD36/CD$32)</f>
        <v>0</v>
      </c>
      <c r="CF36" s="204">
        <f>SUM(BV36,BX36,BZ36,CB36,CD36)</f>
        <v>21.6226</v>
      </c>
      <c r="CG36" s="220">
        <f>IF(CF$32=0,"N.D.",CF36/CF$32)</f>
        <v>0.20972909595708</v>
      </c>
    </row>
    <row r="37" spans="1:85">
      <c r="B37" s="7" t="s">
        <v>30</v>
      </c>
      <c r="C37" s="198">
        <f>BDER!$D162/1000+ajustes!B21</f>
        <v>53.63116</v>
      </c>
      <c r="D37" s="219" t="str">
        <f>IF(C$32=0,"N.D.",C37/C$32)</f>
        <v>N.D.</v>
      </c>
      <c r="E37" s="11">
        <f>BDER!$D140/1000+ajustes!C21</f>
        <v>20.1041</v>
      </c>
      <c r="F37" s="219" t="str">
        <f>IF(E$32=0,"N.D.",E37/E$32)</f>
        <v>N.D.</v>
      </c>
      <c r="G37" s="30">
        <f>BDER!$D206/1000+ajustes!D21</f>
        <v>1.253</v>
      </c>
      <c r="H37" s="219" t="str">
        <f>IF(G$32=0,"N.D.",G37/G$32)</f>
        <v>N.D.</v>
      </c>
      <c r="I37" s="11">
        <f>BDER!$D184/1000+ajustes!E21</f>
        <v>0.975</v>
      </c>
      <c r="J37" s="219" t="str">
        <f>IF(I$32=0,"N.D.",I37/I$32)</f>
        <v>N.D.</v>
      </c>
      <c r="K37" s="206">
        <f>SUM(C37,E37,G37,I37)</f>
        <v>75.96326</v>
      </c>
      <c r="L37" s="219" t="str">
        <f>IF(K$32=0,"N.D.",K37/K$32)</f>
        <v>N.D.</v>
      </c>
      <c r="N37" s="7" t="s">
        <v>30</v>
      </c>
      <c r="O37" s="198">
        <f>BDER!$D8/1000+ajustes!F21</f>
        <v>3264.71618</v>
      </c>
      <c r="P37" s="219">
        <f>IF(O$32=0,"N.D.",O37/O$32)</f>
        <v>0.1105929347242</v>
      </c>
      <c r="Q37" s="11">
        <f>BDER!$D30/1000+ajustes!G21</f>
        <v>1410.2374</v>
      </c>
      <c r="R37" s="219">
        <f>IF(Q$32=0,"N.D.",Q37/Q$32)</f>
        <v>0.22507381146336</v>
      </c>
      <c r="S37" s="30">
        <f>BDER!$D52/1000+ajustes!H21</f>
        <v>1099.52689</v>
      </c>
      <c r="T37" s="219">
        <f>IF(S$32=0,"N.D.",S37/S$32)</f>
        <v>0.039451943884596</v>
      </c>
      <c r="U37" s="11">
        <f>BDER!$D74/1000+ajustes!I21</f>
        <v>3161.43766</v>
      </c>
      <c r="V37" s="219">
        <f>IF(U$32=0,"N.D.",U37/U$32)</f>
        <v>0.91522986832815</v>
      </c>
      <c r="W37" s="30">
        <f>BDER!$D96/1000+ajustes!J21</f>
        <v>155.48488</v>
      </c>
      <c r="X37" s="219">
        <f>IF(W$32=0,"N.D.",W37/W$32)</f>
        <v>0.47713833999858</v>
      </c>
      <c r="Y37" s="11">
        <f>BDER!$D118/1000+ajustes!K21</f>
        <v>168.23455</v>
      </c>
      <c r="Z37" s="219">
        <f>IF(Y$32=0,"N.D.",Y37/Y$32)</f>
        <v>0.63710728622283</v>
      </c>
      <c r="AA37" s="206">
        <f>SUM(O37,Q37,S37,U37,W37,Y37)-AC37</f>
        <v>5805.38222</v>
      </c>
      <c r="AB37" s="219">
        <f>IF(AA$32=0,"N.D.",AA37/AA$32)</f>
        <v>0.10893381304401</v>
      </c>
      <c r="AC37" s="276">
        <f>ELIM!D6/1000</f>
        <v>3454.25534</v>
      </c>
      <c r="AD37" s="201"/>
      <c r="AE37" s="7" t="s">
        <v>30</v>
      </c>
      <c r="AF37" s="11">
        <f>BDER!$D294/1000+BDER!$D289/1000+ajustes!L21</f>
        <v>2792.09531</v>
      </c>
      <c r="AG37" s="219">
        <f>IF(AF$32=0,"N.D.",AF37/AF$32)</f>
        <v>0.053110382667476</v>
      </c>
      <c r="AH37" s="11">
        <f>BDER!$D316/1000-BDER!$D311/1000+ajustes!M21</f>
        <v>2439.06994</v>
      </c>
      <c r="AI37" s="219">
        <f>IF(AH$32=0,"N.D.",AH37/AH$32)</f>
        <v>0.070539015603571</v>
      </c>
      <c r="AJ37" s="11">
        <f>BDER!$D360/1000-BDER!$D355/1000+ajustes!N21</f>
        <v>803.80455</v>
      </c>
      <c r="AK37" s="219">
        <f>IF(AJ$32=0,"N.D.",AJ37/AJ$32)</f>
        <v>0.11392543193521</v>
      </c>
      <c r="AL37" s="11">
        <f>BDER!$D338/2000+BDER!$D333/2000+ajustes!O21</f>
        <v>473.85308</v>
      </c>
      <c r="AM37" s="219">
        <f>IF(AL$32=0,"N.D.",AL37/AL$32)</f>
        <v>0.050652448277817</v>
      </c>
      <c r="AN37" s="11">
        <f>ajustes!P21</f>
        <v>0</v>
      </c>
      <c r="AO37" s="219" t="str">
        <f>IF(AN$32=0,"N.D.",AN37/AN$32)</f>
        <v>N.D.</v>
      </c>
      <c r="AP37" s="11">
        <f>BDER!$D404/1000+ajustes!Q21</f>
        <v>6.02641</v>
      </c>
      <c r="AQ37" s="219">
        <f>IF(AP$32=0,"N.D.",AP37/AP$32)</f>
        <v>0.0011834934105475</v>
      </c>
      <c r="AR37" s="11">
        <f>BDER!$D382/1000+BDER!$D377/1000+ajustes!R21</f>
        <v>1332.4698</v>
      </c>
      <c r="AS37" s="219">
        <f>IF(AR$32=0,"N.D.",AR37/AR$32)</f>
        <v>0.020864321804042</v>
      </c>
      <c r="AT37" s="11">
        <f>SUM(AF37,AH37,AJ37,AL37,AP37,AR37,AN37)</f>
        <v>7847.31909</v>
      </c>
      <c r="AU37" s="219">
        <f>IF(AT$32=0,"N.D.",AT37/AT$32)</f>
        <v>0.045487674552166</v>
      </c>
      <c r="AX37" s="7" t="s">
        <v>30</v>
      </c>
      <c r="AY37" s="11">
        <f>BDER!$D448/1000+ajustes!S21</f>
        <v>470.91111</v>
      </c>
      <c r="AZ37" s="219">
        <f>IF(AY$32=0,"N.D.",AY37/AY$32)</f>
        <v>0.075216124257109</v>
      </c>
      <c r="BA37" s="206">
        <f>BDER!$D426/1000+ajustes!T21</f>
        <v>110.56899</v>
      </c>
      <c r="BB37" s="219">
        <f>IF(BA$32=0,"N.D.",BA37/BA$32)</f>
        <v>0.096471060389359</v>
      </c>
      <c r="BC37" s="206">
        <f>SUM(AY37,BA37)</f>
        <v>581.4801</v>
      </c>
      <c r="BD37" s="219">
        <f>IF(BC$32=0,"N.D.",BC37/BC$32)</f>
        <v>0.078505087660201</v>
      </c>
      <c r="BE37" s="187"/>
      <c r="BG37" s="7" t="s">
        <v>107</v>
      </c>
      <c r="BH37" s="198">
        <f>BDER!$D$673/1000+ajustes!U21</f>
        <v>0.01</v>
      </c>
      <c r="BI37" s="219" t="str">
        <f>IF(BH$32=0,"N.D.",BH37/BH$32)</f>
        <v>N.D.</v>
      </c>
      <c r="BJ37" s="198">
        <f>BDER!$D471/1000+ajustes!V21</f>
        <v>7.51181</v>
      </c>
      <c r="BK37" s="219">
        <f>IF(BJ$32=0,"N.D.",BJ37/BJ$32)</f>
        <v>0.024195509558016</v>
      </c>
      <c r="BL37" s="11">
        <f>BDER!$D494/1000+ajustes!W21</f>
        <v>12.14926</v>
      </c>
      <c r="BM37" s="219">
        <f>IF(BL$32=0,"N.D.",BL37/BL$32)</f>
        <v>0.020070688479597</v>
      </c>
      <c r="BN37" s="30">
        <f>BDER!$D561/1000+ajustes!X21</f>
        <v>6.67619</v>
      </c>
      <c r="BO37" s="219">
        <f>IF(BN$32=0,"N.D.",BN37/BN$32)</f>
        <v>0.024281130243535</v>
      </c>
      <c r="BP37" s="11">
        <f>BDER!$D606/1000+ajustes!Y21</f>
        <v>8.04141</v>
      </c>
      <c r="BQ37" s="219">
        <f>IF(BP$32=0,"N.D.",BP37/BP$32)</f>
        <v>0.02086582234757</v>
      </c>
      <c r="BR37" s="206">
        <f>SUM(BJ37,BL37,BN37,BP37)+BH37</f>
        <v>34.38867</v>
      </c>
      <c r="BS37" s="219">
        <f>IF(BR$32=0,"N.D.",BR37/BR$32)</f>
        <v>0.02181846345215</v>
      </c>
      <c r="BU37" s="7" t="s">
        <v>107</v>
      </c>
      <c r="BV37" s="198">
        <f>BDER!$D516/1000+ajustes!Z21</f>
        <v>0</v>
      </c>
      <c r="BW37" s="219">
        <f>IF(BV$32=0,"N.D.",BV37/BV$32)</f>
        <v>0</v>
      </c>
      <c r="BX37" s="11">
        <f>BDER!$D583/1000+ajustes!AA21</f>
        <v>0</v>
      </c>
      <c r="BY37" s="219">
        <f>IF(BX$32=0,"N.D.",BX37/BX$32)</f>
        <v>0</v>
      </c>
      <c r="BZ37" s="30">
        <f>BDER!$D628/1000+ajustes!AB21</f>
        <v>0</v>
      </c>
      <c r="CA37" s="219">
        <f>IF(BZ$32=0,"N.D.",BZ37/BZ$32)</f>
        <v>0</v>
      </c>
      <c r="CB37" s="11">
        <f>BDER!$D538/1000+ajustes!AC21</f>
        <v>0</v>
      </c>
      <c r="CC37" s="219">
        <f>IF(CB$32=0,"N.D.",CB37/CB$32)</f>
        <v>0</v>
      </c>
      <c r="CD37" s="206">
        <f>BDER!$D650/1000+ajustes!AD21</f>
        <v>0.02339</v>
      </c>
      <c r="CE37" s="219">
        <f>IF(CD$32=0,"N.D.",CD37/CD$32)</f>
        <v>0.0045128304071001</v>
      </c>
      <c r="CF37" s="206">
        <f>SUM(BV37,BX37,BZ37,CB37,CD37)</f>
        <v>0.02339</v>
      </c>
      <c r="CG37" s="219">
        <f>IF(CF$32=0,"N.D.",CF37/CF$32)</f>
        <v>0.00022687204843248</v>
      </c>
    </row>
    <row r="38" spans="1:85">
      <c r="B38" s="7" t="s">
        <v>31</v>
      </c>
      <c r="C38" s="196">
        <f>BDER!$D163/1000+ajustes!B22</f>
        <v>0</v>
      </c>
      <c r="D38" s="219" t="str">
        <f>IF(C$32=0,"N.D.",C38/C$32)</f>
        <v>N.D.</v>
      </c>
      <c r="E38" s="34">
        <f>BDER!$D141/1000+ajustes!C22</f>
        <v>0</v>
      </c>
      <c r="F38" s="219" t="str">
        <f>IF(E$32=0,"N.D.",E38/E$32)</f>
        <v>N.D.</v>
      </c>
      <c r="G38" s="197">
        <f>BDER!$D207/1000+ajustes!D22</f>
        <v>0</v>
      </c>
      <c r="H38" s="219" t="str">
        <f>IF(G$32=0,"N.D.",G38/G$32)</f>
        <v>N.D.</v>
      </c>
      <c r="I38" s="34">
        <f>BDER!$D185/1000+ajustes!E22</f>
        <v>0</v>
      </c>
      <c r="J38" s="219" t="str">
        <f>IF(I$32=0,"N.D.",I38/I$32)</f>
        <v>N.D.</v>
      </c>
      <c r="K38" s="207">
        <f>SUM(C38,E38,G38,I38)</f>
        <v>0</v>
      </c>
      <c r="L38" s="219" t="str">
        <f>IF(K$32=0,"N.D.",K38/K$32)</f>
        <v>N.D.</v>
      </c>
      <c r="N38" s="7" t="s">
        <v>31</v>
      </c>
      <c r="O38" s="196">
        <f>BDER!$D9/1000+ajustes!F22</f>
        <v>708.43615</v>
      </c>
      <c r="P38" s="219">
        <f>IF(O$32=0,"N.D.",O38/O$32)</f>
        <v>0.023998420865244</v>
      </c>
      <c r="Q38" s="34">
        <f>BDER!$D31/1000+ajustes!G22</f>
        <v>0</v>
      </c>
      <c r="R38" s="219">
        <f>IF(Q$32=0,"N.D.",Q38/Q$32)</f>
        <v>0</v>
      </c>
      <c r="S38" s="197">
        <f>BDER!$D53/1000+ajustes!H22</f>
        <v>110.02908</v>
      </c>
      <c r="T38" s="219">
        <f>IF(S$32=0,"N.D.",S38/S$32)</f>
        <v>0.0039479353613932</v>
      </c>
      <c r="U38" s="34">
        <f>BDER!$D75/1000+ajustes!I22</f>
        <v>45.17632</v>
      </c>
      <c r="V38" s="219">
        <f>IF(U$32=0,"N.D.",U38/U$32)</f>
        <v>0.013078454124934</v>
      </c>
      <c r="W38" s="197">
        <f>BDER!$D97/1000+ajustes!J22</f>
        <v>0</v>
      </c>
      <c r="X38" s="219">
        <f>IF(W$32=0,"N.D.",W38/W$32)</f>
        <v>0</v>
      </c>
      <c r="Y38" s="34">
        <f>BDER!$D119/1000+ajustes!K22</f>
        <v>46.87208</v>
      </c>
      <c r="Z38" s="219">
        <f>IF(Y$32=0,"N.D.",Y38/Y$32)</f>
        <v>0.17750541543589</v>
      </c>
      <c r="AA38" s="207">
        <f>SUM(O38,Q38,S38,U38,W38,Y38)</f>
        <v>910.51363</v>
      </c>
      <c r="AB38" s="219">
        <f>IF(AA$32=0,"N.D.",AA38/AA$32)</f>
        <v>0.017085132000911</v>
      </c>
      <c r="AC38" s="276"/>
      <c r="AE38" s="7" t="s">
        <v>31</v>
      </c>
      <c r="AF38" s="11">
        <f>BDER!$D295/1000+ajustes!L22</f>
        <v>355.15084</v>
      </c>
      <c r="AG38" s="219">
        <f>IF(AF$32=0,"N.D.",AF38/AF$32)</f>
        <v>0.0067555706101865</v>
      </c>
      <c r="AH38" s="11">
        <f>BDER!$D317/1000+ajustes!M22</f>
        <v>631.87185</v>
      </c>
      <c r="AI38" s="219">
        <f>IF(AH$32=0,"N.D.",AH38/AH$32)</f>
        <v>0.018274022222834</v>
      </c>
      <c r="AJ38" s="11">
        <f>BDER!$D361/1000+ajustes!N22</f>
        <v>249.58119</v>
      </c>
      <c r="AK38" s="219">
        <f>IF(AJ$32=0,"N.D.",AJ38/AJ$32)</f>
        <v>0.035373829214643</v>
      </c>
      <c r="AL38" s="11">
        <f>BDER!$D339/2000+ajustes!O22</f>
        <v>177.5445</v>
      </c>
      <c r="AM38" s="219">
        <f>IF(AL$32=0,"N.D.",AL38/AL$32)</f>
        <v>0.018978590586054</v>
      </c>
      <c r="AN38" s="11">
        <f>ajustes!P22</f>
        <v>0</v>
      </c>
      <c r="AO38" s="219" t="str">
        <f>IF(AN$32=0,"N.D.",AN38/AN$32)</f>
        <v>N.D.</v>
      </c>
      <c r="AP38" s="11">
        <f>BDER!$D405/1000+ajustes!Q22</f>
        <v>296.23773</v>
      </c>
      <c r="AQ38" s="219">
        <f>IF(AP$32=0,"N.D.",AP38/AP$32)</f>
        <v>0.058176493370106</v>
      </c>
      <c r="AR38" s="11">
        <f>BDER!$D383/1000+ajustes!R22</f>
        <v>231.41785</v>
      </c>
      <c r="AS38" s="219">
        <f>IF(AR$32=0,"N.D.",AR38/AR$32)</f>
        <v>0.0036236292136599</v>
      </c>
      <c r="AT38" s="11">
        <f>SUM(AF38,AH38,AJ38,AL38,AP38,AR38,AN38)</f>
        <v>1941.80396</v>
      </c>
      <c r="AU38" s="219">
        <f>IF(AT$32=0,"N.D.",AT38/AT$32)</f>
        <v>0.011255837256464</v>
      </c>
      <c r="AX38" s="7" t="s">
        <v>31</v>
      </c>
      <c r="AY38" s="34">
        <f>BDER!$D449/1000+ajustes!S22</f>
        <v>6.87567</v>
      </c>
      <c r="AZ38" s="219">
        <f>IF(AY$32=0,"N.D.",AY38/AY$32)</f>
        <v>0.0010982141599311</v>
      </c>
      <c r="BA38" s="207">
        <f>BDER!$D427/1000+ajustes!T22</f>
        <v>25.04974</v>
      </c>
      <c r="BB38" s="219">
        <f>IF(BA$32=0,"N.D.",BA38/BA$32)</f>
        <v>0.02185581129282</v>
      </c>
      <c r="BC38" s="206">
        <f>SUM(AY38,BA38)</f>
        <v>31.92541</v>
      </c>
      <c r="BD38" s="219">
        <f>IF(BC$32=0,"N.D.",BC38/BC$32)</f>
        <v>0.0043102199209188</v>
      </c>
      <c r="BE38" s="187"/>
      <c r="BG38" s="7" t="s">
        <v>108</v>
      </c>
      <c r="BH38" s="198">
        <f>BDER!$D$674/1000+ajustes!U22</f>
        <v>0</v>
      </c>
      <c r="BI38" s="219" t="str">
        <f>IF(BH$32=0,"N.D.",BH38/BH$32)</f>
        <v>N.D.</v>
      </c>
      <c r="BJ38" s="196">
        <f>BDER!$D472/1000+ajustes!V22</f>
        <v>1.12499</v>
      </c>
      <c r="BK38" s="219">
        <f>IF(BJ$32=0,"N.D.",BJ38/BJ$32)</f>
        <v>0.0036235882294243</v>
      </c>
      <c r="BL38" s="34">
        <f>BDER!$D495/1000+ajustes!W22</f>
        <v>6.0634</v>
      </c>
      <c r="BM38" s="219">
        <f>IF(BL$32=0,"N.D.",BL38/BL$32)</f>
        <v>0.010016792177235</v>
      </c>
      <c r="BN38" s="197">
        <f>BDER!$D562/1000+ajustes!X22</f>
        <v>6.30428</v>
      </c>
      <c r="BO38" s="219">
        <f>IF(BN$32=0,"N.D.",BN38/BN$32)</f>
        <v>0.022928503198937</v>
      </c>
      <c r="BP38" s="34">
        <f>BDER!$D607/1000+ajustes!Y22</f>
        <v>5.11902</v>
      </c>
      <c r="BQ38" s="219">
        <f>IF(BP$32=0,"N.D.",BP38/BP$32)</f>
        <v>0.013282815067713</v>
      </c>
      <c r="BR38" s="206">
        <f>SUM(BJ38,BL38,BN38,BP38)+BH38</f>
        <v>18.61169</v>
      </c>
      <c r="BS38" s="219">
        <f>IF(BR$32=0,"N.D.",BR38/BR$32)</f>
        <v>0.011808496171784</v>
      </c>
      <c r="BU38" s="7" t="s">
        <v>108</v>
      </c>
      <c r="BV38" s="196">
        <f>BDER!$D517/1000+ajustes!Z22</f>
        <v>21.016</v>
      </c>
      <c r="BW38" s="219">
        <f>IF(BV$32=0,"N.D.",BV38/BV$32)</f>
        <v>0.47404985328049</v>
      </c>
      <c r="BX38" s="34">
        <f>BDER!$D584/1000+ajustes!AA22</f>
        <v>2.51317</v>
      </c>
      <c r="BY38" s="219">
        <f>IF(BX$32=0,"N.D.",BX38/BX$32)</f>
        <v>0.084180355516522</v>
      </c>
      <c r="BZ38" s="197">
        <f>BDER!$D629/1000+ajustes!AB22</f>
        <v>2.80912</v>
      </c>
      <c r="CA38" s="219">
        <f>IF(BZ$32=0,"N.D.",BZ38/BZ$32)</f>
        <v>0.14056648525741</v>
      </c>
      <c r="CB38" s="34">
        <f>BDER!$D539/1000+ajustes!AC22</f>
        <v>3.78604</v>
      </c>
      <c r="CC38" s="219">
        <f>IF(CB$32=0,"N.D.",CB38/CB$32)</f>
        <v>1.0114987977558</v>
      </c>
      <c r="CD38" s="207">
        <f>BDER!$D651/1000+ajustes!AD22</f>
        <v>0</v>
      </c>
      <c r="CE38" s="219">
        <f>IF(CD$32=0,"N.D.",CD38/CD$32)</f>
        <v>0</v>
      </c>
      <c r="CF38" s="206">
        <f>SUM(BV38,BX38,BZ38,CB38,CD38)</f>
        <v>30.12433</v>
      </c>
      <c r="CG38" s="219">
        <f>IF(CF$32=0,"N.D.",CF38/CF$32)</f>
        <v>0.29219189631278</v>
      </c>
    </row>
    <row r="39" spans="1:85">
      <c r="B39" s="4" t="s">
        <v>32</v>
      </c>
      <c r="C39" s="216">
        <f>SUM(C36:C38)</f>
        <v>53.63116</v>
      </c>
      <c r="D39" s="22" t="str">
        <f>IF(C$32=0,"N.D.",C39/C$32)</f>
        <v>N.D.</v>
      </c>
      <c r="E39" s="208">
        <f>SUM(E36:E38)</f>
        <v>20.7791</v>
      </c>
      <c r="F39" s="22" t="str">
        <f>IF(E$32=0,"N.D.",E39/E$32)</f>
        <v>N.D.</v>
      </c>
      <c r="G39" s="202">
        <f>SUM(G36:G38)</f>
        <v>1.253</v>
      </c>
      <c r="H39" s="22" t="str">
        <f>IF(G$32=0,"N.D.",G39/G$32)</f>
        <v>N.D.</v>
      </c>
      <c r="I39" s="208">
        <f>SUM(I36:I38)</f>
        <v>0.975</v>
      </c>
      <c r="J39" s="22" t="str">
        <f>IF(I$32=0,"N.D.",I39/I$32)</f>
        <v>N.D.</v>
      </c>
      <c r="K39" s="213">
        <f>SUM(K36:K38)</f>
        <v>76.63826</v>
      </c>
      <c r="L39" s="22" t="str">
        <f>IF(K$32=0,"N.D.",K39/K$32)</f>
        <v>N.D.</v>
      </c>
      <c r="N39" s="4" t="s">
        <v>32</v>
      </c>
      <c r="O39" s="216">
        <f>SUM(O36:O38)</f>
        <v>15882.37342</v>
      </c>
      <c r="P39" s="22">
        <f>IF(O$32=0,"N.D.",O39/O$32)</f>
        <v>0.53801867913167</v>
      </c>
      <c r="Q39" s="208">
        <f>SUM(Q36:Q38)</f>
        <v>1410.2374</v>
      </c>
      <c r="R39" s="22">
        <f>IF(Q$32=0,"N.D.",Q39/Q$32)</f>
        <v>0.22507381146336</v>
      </c>
      <c r="S39" s="202">
        <f>SUM(S36:S38)</f>
        <v>3914.93861</v>
      </c>
      <c r="T39" s="22">
        <f>IF(S$32=0,"N.D.",S39/S$32)</f>
        <v>0.14047126974162</v>
      </c>
      <c r="U39" s="208">
        <f>SUM(U36:U38)</f>
        <v>3206.61398</v>
      </c>
      <c r="V39" s="22">
        <f>IF(U$32=0,"N.D.",U39/U$32)</f>
        <v>0.92830832245308</v>
      </c>
      <c r="W39" s="202">
        <f>SUM(W36:W38)</f>
        <v>155.48488</v>
      </c>
      <c r="X39" s="22">
        <f>IF(W$32=0,"N.D.",W39/W$32)</f>
        <v>0.47713833999858</v>
      </c>
      <c r="Y39" s="208">
        <f>SUM(Y36:Y38)</f>
        <v>215.10663</v>
      </c>
      <c r="Z39" s="22">
        <f>IF(Y$32=0,"N.D.",Y39/Y$32)</f>
        <v>0.81461270165871</v>
      </c>
      <c r="AA39" s="213">
        <f>SUM(AA36:AA38)</f>
        <v>19571.52985</v>
      </c>
      <c r="AB39" s="22">
        <f>IF(AA$32=0,"N.D.",AA39/AA$32)</f>
        <v>0.36724565116836</v>
      </c>
      <c r="AC39" s="277"/>
      <c r="AE39" s="4" t="s">
        <v>32</v>
      </c>
      <c r="AF39" s="14">
        <f>SUM(AF36:AF38)</f>
        <v>7302.03408</v>
      </c>
      <c r="AG39" s="22">
        <f>IF(AF$32=0,"N.D.",AF39/AF$32)</f>
        <v>0.13889705800901</v>
      </c>
      <c r="AH39" s="14">
        <f>SUM(AH36:AH38)</f>
        <v>10420.63839</v>
      </c>
      <c r="AI39" s="22">
        <f>IF(AH$32=0,"N.D.",AH39/AH$32)</f>
        <v>0.30136961713832</v>
      </c>
      <c r="AJ39" s="14">
        <f>SUM(AJ36:AJ38)</f>
        <v>4852.92551</v>
      </c>
      <c r="AK39" s="22">
        <f>IF(AJ$32=0,"N.D.",AJ39/AJ$32)</f>
        <v>0.68781849378202</v>
      </c>
      <c r="AL39" s="14">
        <f>SUM(AL36:AL38)</f>
        <v>2512.270245</v>
      </c>
      <c r="AM39" s="22">
        <f>IF(AL$32=0,"N.D.",AL39/AL$32)</f>
        <v>0.2685487211453</v>
      </c>
      <c r="AN39" s="14">
        <f>SUM(AN36:AN38)</f>
        <v>0</v>
      </c>
      <c r="AO39" s="22" t="str">
        <f>IF(AN$32=0,"N.D.",AN39/AN$32)</f>
        <v>N.D.</v>
      </c>
      <c r="AP39" s="14">
        <f>SUM(AP36:AP38)</f>
        <v>1467.92756</v>
      </c>
      <c r="AQ39" s="22">
        <f>IF(AP$32=0,"N.D.",AP39/AP$32)</f>
        <v>0.28827819455049</v>
      </c>
      <c r="AR39" s="14">
        <f>SUM(AR36:AR38)</f>
        <v>4565.8377</v>
      </c>
      <c r="AS39" s="22">
        <f>IF(AR$32=0,"N.D.",AR39/AR$32)</f>
        <v>0.071493633159887</v>
      </c>
      <c r="AT39" s="14">
        <f>SUM(AT36:AT38)</f>
        <v>31121.633485</v>
      </c>
      <c r="AU39" s="22">
        <f>IF(AT$32=0,"N.D.",AT39/AT$32)</f>
        <v>0.18039928276925</v>
      </c>
      <c r="AX39" s="4" t="s">
        <v>32</v>
      </c>
      <c r="AY39" s="208">
        <f>SUM(AY36:AY38)</f>
        <v>526.15878</v>
      </c>
      <c r="AZ39" s="22">
        <f>IF(AY$32=0,"N.D.",AY39/AY$32)</f>
        <v>0.08404054042269</v>
      </c>
      <c r="BA39" s="208">
        <f>SUM(BA36:BA38)</f>
        <v>135.61873</v>
      </c>
      <c r="BB39" s="22">
        <f>IF(BA$32=0,"N.D.",BA39/BA$32)</f>
        <v>0.11832687168218</v>
      </c>
      <c r="BC39" s="14">
        <f>SUM(BC36:BC38)</f>
        <v>661.77751</v>
      </c>
      <c r="BD39" s="22">
        <f>IF(BC$32=0,"N.D.",BC39/BC$32)</f>
        <v>0.089345966326448</v>
      </c>
      <c r="BE39" s="221"/>
      <c r="BG39" s="4" t="s">
        <v>109</v>
      </c>
      <c r="BH39" s="14">
        <f>SUM(BH36:BH38)</f>
        <v>0.01</v>
      </c>
      <c r="BI39" s="22" t="str">
        <f>IF(BH$32=0,"N.D.",BH39/BH$32)</f>
        <v>N.D.</v>
      </c>
      <c r="BJ39" s="208">
        <f>SUM(BJ36:BJ38)</f>
        <v>195.43468</v>
      </c>
      <c r="BK39" s="22">
        <f>IF(BJ$32=0,"N.D.",BJ39/BJ$32)</f>
        <v>0.62949431201105</v>
      </c>
      <c r="BL39" s="208">
        <f>SUM(BL36:BL38)</f>
        <v>411.34264</v>
      </c>
      <c r="BM39" s="22">
        <f>IF(BL$32=0,"N.D.",BL39/BL$32)</f>
        <v>0.67954179808606</v>
      </c>
      <c r="BN39" s="208">
        <f>SUM(BN36:BN38)</f>
        <v>163.43632</v>
      </c>
      <c r="BO39" s="22">
        <f>IF(BN$32=0,"N.D.",BN39/BN$32)</f>
        <v>0.5944136659448</v>
      </c>
      <c r="BP39" s="208">
        <f>SUM(BP36:BP38)</f>
        <v>243.72669</v>
      </c>
      <c r="BQ39" s="22">
        <f>IF(BP$32=0,"N.D.",BP39/BP$32)</f>
        <v>0.63242115684953</v>
      </c>
      <c r="BR39" s="14">
        <f>SUM(BR36:BR38)</f>
        <v>1013.95033</v>
      </c>
      <c r="BS39" s="22">
        <f>IF(BR$32=0,"N.D.",BR39/BR$32)</f>
        <v>0.64331764553267</v>
      </c>
      <c r="BU39" s="4" t="s">
        <v>109</v>
      </c>
      <c r="BV39" s="208">
        <f>SUM(BV36:BV38)</f>
        <v>31.7263</v>
      </c>
      <c r="BW39" s="22">
        <f>IF(BV$32=0,"N.D.",BV39/BV$32)</f>
        <v>0.7156379834475</v>
      </c>
      <c r="BX39" s="208">
        <f>SUM(BX36:BX38)</f>
        <v>11.88385</v>
      </c>
      <c r="BY39" s="22">
        <f>IF(BX$32=0,"N.D.",BX39/BX$32)</f>
        <v>0.3980577190978</v>
      </c>
      <c r="BZ39" s="208">
        <f>SUM(BZ36:BZ38)</f>
        <v>4.33554</v>
      </c>
      <c r="CA39" s="22">
        <f>IF(BZ$32=0,"N.D.",BZ39/BZ$32)</f>
        <v>0.21694752075131</v>
      </c>
      <c r="CB39" s="208">
        <f>SUM(CB36:CB38)</f>
        <v>3.80124</v>
      </c>
      <c r="CC39" s="22">
        <f>IF(CB$32=0,"N.D.",CB39/CB$32)</f>
        <v>1.0155597114614</v>
      </c>
      <c r="CD39" s="208">
        <f>SUM(CD36:CD38)</f>
        <v>0.02339</v>
      </c>
      <c r="CE39" s="22">
        <f>IF(CD$32=0,"N.D.",CD39/CD$32)</f>
        <v>0.0045128304071001</v>
      </c>
      <c r="CF39" s="14">
        <f>SUM(CF36:CF38)</f>
        <v>51.77032</v>
      </c>
      <c r="CG39" s="22">
        <f>IF(CF$32=0,"N.D.",CF39/CF$32)</f>
        <v>0.50214786431829</v>
      </c>
    </row>
    <row r="40" spans="1:85">
      <c r="B40" s="4" t="s">
        <v>33</v>
      </c>
      <c r="C40" s="212">
        <f>C34-C39</f>
        <v>-53.63116</v>
      </c>
      <c r="D40" s="22" t="str">
        <f>IF(C$32=0,"N.D.",C40/C$32)</f>
        <v>N.D.</v>
      </c>
      <c r="E40" s="200">
        <f>E34-E39</f>
        <v>-20.7791</v>
      </c>
      <c r="F40" s="22" t="str">
        <f>IF(E$32=0,"N.D.",E40/E$32)</f>
        <v>N.D.</v>
      </c>
      <c r="G40" s="209">
        <f>G34-G39</f>
        <v>-1.253</v>
      </c>
      <c r="H40" s="22" t="str">
        <f>IF(G$32=0,"N.D.",G40/G$32)</f>
        <v>N.D.</v>
      </c>
      <c r="I40" s="200">
        <f>I34-I39</f>
        <v>-0.975</v>
      </c>
      <c r="J40" s="22" t="str">
        <f>IF(I$32=0,"N.D.",I40/I$32)</f>
        <v>N.D.</v>
      </c>
      <c r="K40" s="210">
        <f>K34-K39</f>
        <v>-76.63826</v>
      </c>
      <c r="L40" s="22" t="str">
        <f>IF(K$32=0,"N.D.",K40/K$32)</f>
        <v>N.D.</v>
      </c>
      <c r="N40" s="4" t="s">
        <v>33</v>
      </c>
      <c r="O40" s="212">
        <f>O34-O39</f>
        <v>3627.12232</v>
      </c>
      <c r="P40" s="22">
        <f>IF(O$32=0,"N.D.",O40/O$32)</f>
        <v>0.12286951754944</v>
      </c>
      <c r="Q40" s="200">
        <f>Q34-Q39</f>
        <v>1463.40017</v>
      </c>
      <c r="R40" s="22">
        <f>IF(Q$32=0,"N.D.",Q40/Q$32)</f>
        <v>0.23355858663089</v>
      </c>
      <c r="S40" s="209">
        <f>S34-S39</f>
        <v>1012.55355</v>
      </c>
      <c r="T40" s="22">
        <f>IF(S$32=0,"N.D.",S40/S$32)</f>
        <v>0.036331267746211</v>
      </c>
      <c r="U40" s="200">
        <f>U34-U39</f>
        <v>247.64136</v>
      </c>
      <c r="V40" s="22">
        <f>IF(U$32=0,"N.D.",U40/U$32)</f>
        <v>0.071691677546918</v>
      </c>
      <c r="W40" s="209">
        <f>W34-W39</f>
        <v>-39.65434</v>
      </c>
      <c r="X40" s="22">
        <f>IF(W$32=0,"N.D.",W40/W$32)</f>
        <v>-0.12168775485654</v>
      </c>
      <c r="Y40" s="200">
        <f>Y34-Y39</f>
        <v>48.95337</v>
      </c>
      <c r="Z40" s="22">
        <f>IF(Y$32=0,"N.D.",Y40/Y$32)</f>
        <v>0.18538729834129</v>
      </c>
      <c r="AA40" s="210">
        <f>AA34-AA39</f>
        <v>6360.01643</v>
      </c>
      <c r="AB40" s="22">
        <f>IF(AA$32=0,"N.D.",AA40/AA$32)</f>
        <v>0.11934112423393</v>
      </c>
      <c r="AC40" s="277"/>
      <c r="AE40" s="4" t="s">
        <v>33</v>
      </c>
      <c r="AF40" s="20">
        <f>AF34-AF39</f>
        <v>1821.87912</v>
      </c>
      <c r="AG40" s="22">
        <f>IF(AF$32=0,"N.D.",AF40/AF$32)</f>
        <v>0.034655227165968</v>
      </c>
      <c r="AH40" s="20">
        <f>AH34-AH39</f>
        <v>2806.40233</v>
      </c>
      <c r="AI40" s="22">
        <f>IF(AH$32=0,"N.D.",AH40/AH$32)</f>
        <v>0.081162435934809</v>
      </c>
      <c r="AJ40" s="20">
        <f>AJ34-AJ39</f>
        <v>-2000.94305</v>
      </c>
      <c r="AK40" s="22">
        <f>IF(AJ$32=0,"N.D.",AJ40/AJ$32)</f>
        <v>-0.28359916754515</v>
      </c>
      <c r="AL40" s="20">
        <f>AL34-AL39</f>
        <v>1598.90793</v>
      </c>
      <c r="AM40" s="22">
        <f>IF(AL$32=0,"N.D.",AL40/AL$32)</f>
        <v>0.17091500434125</v>
      </c>
      <c r="AN40" s="20">
        <f>AN34-AN39</f>
        <v>0</v>
      </c>
      <c r="AO40" s="22" t="str">
        <f>IF(AN$32=0,"N.D.",AN40/AN$32)</f>
        <v>N.D.</v>
      </c>
      <c r="AP40" s="20">
        <f>AP34-AP39</f>
        <v>438.80978</v>
      </c>
      <c r="AQ40" s="22">
        <f>IF(AP$32=0,"N.D.",AP40/AP$32)</f>
        <v>0.086175431660605</v>
      </c>
      <c r="AR40" s="20">
        <f>AR34-AR39</f>
        <v>4777.4531</v>
      </c>
      <c r="AS40" s="22">
        <f>IF(AR$32=0,"N.D.",AR40/AR$32)</f>
        <v>0.074807188036922</v>
      </c>
      <c r="AT40" s="20">
        <f>AT34-AT39</f>
        <v>9442.50921</v>
      </c>
      <c r="AU40" s="22">
        <f>IF(AT$32=0,"N.D.",AT40/AT$32)</f>
        <v>0.054734334232394</v>
      </c>
      <c r="AX40" s="4" t="s">
        <v>33</v>
      </c>
      <c r="AY40" s="14">
        <f>AY34-AY39</f>
        <v>2734.24536</v>
      </c>
      <c r="AZ40" s="22">
        <f>IF(AY$32=0,"N.D.",AY40/AY$32)</f>
        <v>0.43672645299701</v>
      </c>
      <c r="BA40" s="14">
        <f>BA34-BA39</f>
        <v>134.75496</v>
      </c>
      <c r="BB40" s="22">
        <f>IF(BA$32=0,"N.D.",BA40/BA$32)</f>
        <v>0.11757323535221</v>
      </c>
      <c r="BC40" s="20">
        <f>BC34-BC39</f>
        <v>2869.00032</v>
      </c>
      <c r="BD40" s="22">
        <f>IF(BC$32=0,"N.D.",BC40/BC$32)</f>
        <v>0.38734106570241</v>
      </c>
      <c r="BE40" s="221"/>
      <c r="BG40" s="4" t="s">
        <v>110</v>
      </c>
      <c r="BH40" s="20">
        <f>BH34-BH39</f>
        <v>-0.01</v>
      </c>
      <c r="BI40" s="22" t="str">
        <f>IF(BH$32=0,"N.D.",BH40/BH$32)</f>
        <v>N.D.</v>
      </c>
      <c r="BJ40" s="14">
        <f>BJ34-BJ39</f>
        <v>14.41864</v>
      </c>
      <c r="BK40" s="22">
        <f>IF(BJ$32=0,"N.D.",BJ40/BJ$32)</f>
        <v>0.046442380988548</v>
      </c>
      <c r="BL40" s="14">
        <f>BL34-BL39</f>
        <v>18.98122</v>
      </c>
      <c r="BM40" s="22">
        <f>IF(BL$32=0,"N.D.",BL40/BL$32)</f>
        <v>0.031357148796116</v>
      </c>
      <c r="BN40" s="14">
        <f>BN34-BN39</f>
        <v>30.89106</v>
      </c>
      <c r="BO40" s="22">
        <f>IF(BN$32=0,"N.D.",BN40/BN$32)</f>
        <v>0.11234998572851</v>
      </c>
      <c r="BP40" s="14">
        <f>BP34-BP39</f>
        <v>24.80873</v>
      </c>
      <c r="BQ40" s="22">
        <f>IF(BP$32=0,"N.D.",BP40/BP$32)</f>
        <v>0.064373605232023</v>
      </c>
      <c r="BR40" s="20">
        <f>BR34-BR39</f>
        <v>89.08965</v>
      </c>
      <c r="BS40" s="22">
        <f>IF(BR$32=0,"N.D.",BR40/BR$32)</f>
        <v>0.056524409710809</v>
      </c>
      <c r="BU40" s="4" t="s">
        <v>110</v>
      </c>
      <c r="BV40" s="14">
        <f>BV34-BV39</f>
        <v>12.60659</v>
      </c>
      <c r="BW40" s="22">
        <f>IF(BV$32=0,"N.D.",BV40/BV$32)</f>
        <v>0.2843620165525</v>
      </c>
      <c r="BX40" s="14">
        <f>BX34-BX39</f>
        <v>17.97074</v>
      </c>
      <c r="BY40" s="22">
        <f>IF(BX$32=0,"N.D.",BX40/BX$32)</f>
        <v>0.6019422809022</v>
      </c>
      <c r="BZ40" s="14">
        <f>BZ34-BZ39</f>
        <v>15.64874</v>
      </c>
      <c r="CA40" s="22">
        <f>IF(BZ$32=0,"N.D.",BZ40/BZ$32)</f>
        <v>0.78305247924869</v>
      </c>
      <c r="CB40" s="14">
        <f>CB34-CB39</f>
        <v>-0.05824</v>
      </c>
      <c r="CC40" s="22">
        <f>IF(CB$32=0,"N.D.",CB40/CB$32)</f>
        <v>-0.015559711461395</v>
      </c>
      <c r="CD40" s="14">
        <f>CD34-CD39</f>
        <v>5.15961</v>
      </c>
      <c r="CE40" s="22">
        <f>IF(CD$32=0,"N.D.",CD40/CD$32)</f>
        <v>0.9954871695929</v>
      </c>
      <c r="CF40" s="20">
        <f>CF34-CF39</f>
        <v>51.32744</v>
      </c>
      <c r="CG40" s="22">
        <f>IF(CF$32=0,"N.D.",CF40/CF$32)</f>
        <v>0.49785213568171</v>
      </c>
    </row>
    <row r="41" spans="1:85">
      <c r="B41" s="1"/>
      <c r="C41" s="217"/>
      <c r="D41" s="30"/>
      <c r="E41" s="217"/>
      <c r="F41" s="30"/>
      <c r="G41" s="217"/>
      <c r="H41" s="30"/>
      <c r="I41" s="217"/>
      <c r="J41" s="30"/>
      <c r="K41" s="217"/>
      <c r="L41" s="30"/>
      <c r="N41" s="1"/>
      <c r="O41" s="217"/>
      <c r="P41" s="30"/>
      <c r="Q41" s="217"/>
      <c r="R41" s="30"/>
      <c r="S41" s="217"/>
      <c r="T41" s="30"/>
      <c r="U41" s="217"/>
      <c r="V41" s="30"/>
      <c r="W41" s="217"/>
      <c r="X41" s="30"/>
      <c r="Y41" s="217"/>
      <c r="Z41" s="30"/>
      <c r="AA41" s="217"/>
      <c r="AB41" s="30"/>
      <c r="AC41" s="275"/>
      <c r="AE41" s="1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X41" s="1"/>
      <c r="AY41" s="30"/>
      <c r="AZ41" s="30"/>
      <c r="BA41" s="30"/>
      <c r="BB41" s="30"/>
      <c r="BC41" s="30"/>
      <c r="BD41" s="30"/>
      <c r="BE41" s="30"/>
      <c r="BG41" s="1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U41" s="1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</row>
    <row r="42" spans="1:85">
      <c r="B42" s="7" t="s">
        <v>36</v>
      </c>
      <c r="C42" s="198">
        <f>BDER!$D166/1000+ajustes!B23</f>
        <v>0</v>
      </c>
      <c r="D42" s="220" t="str">
        <f>IF(C$32=0,"N.D.",C42/C$32)</f>
        <v>N.D.</v>
      </c>
      <c r="E42" s="11">
        <f>BDER!$D144/1000+ajustes!C23</f>
        <v>0</v>
      </c>
      <c r="F42" s="220" t="str">
        <f>IF(E$32=0,"N.D.",E42/E$32)</f>
        <v>N.D.</v>
      </c>
      <c r="G42" s="30">
        <f>BDER!$D210/1000+ajustes!D23</f>
        <v>0</v>
      </c>
      <c r="H42" s="220" t="str">
        <f>IF(G$32=0,"N.D.",G42/G$32)</f>
        <v>N.D.</v>
      </c>
      <c r="I42" s="11">
        <f>BDER!$D188/1000+ajustes!E23</f>
        <v>0</v>
      </c>
      <c r="J42" s="220" t="str">
        <f>IF(I$32=0,"N.D.",I42/I$32)</f>
        <v>N.D.</v>
      </c>
      <c r="K42" s="206">
        <f>SUM(C42,E42,G42,I42)</f>
        <v>0</v>
      </c>
      <c r="L42" s="220" t="str">
        <f>IF(K$32=0,"N.D.",K42/K$32)</f>
        <v>N.D.</v>
      </c>
      <c r="N42" s="7" t="s">
        <v>36</v>
      </c>
      <c r="O42" s="198">
        <f>BDER!$D12/1000+ajustes!F23</f>
        <v>26.30068</v>
      </c>
      <c r="P42" s="220">
        <f>IF(O$32=0,"N.D.",O42/O$32)</f>
        <v>0.0008909409657908</v>
      </c>
      <c r="Q42" s="11">
        <f>BDER!$D34/1000+ajustes!G23</f>
        <v>140.81406</v>
      </c>
      <c r="R42" s="220">
        <f>IF(Q$32=0,"N.D.",Q42/Q$32)</f>
        <v>0.02247391622987</v>
      </c>
      <c r="S42" s="30">
        <f>BDER!$D56/1000+ajustes!H23</f>
        <v>1.51942</v>
      </c>
      <c r="T42" s="220">
        <f>IF(S$32=0,"N.D.",S42/S$32)</f>
        <v>5.4518059651213E-5</v>
      </c>
      <c r="U42" s="11">
        <f>BDER!$D78/1000+ajustes!I23</f>
        <v>-2.19196</v>
      </c>
      <c r="V42" s="220">
        <f>IF(U$32=0,"N.D.",U42/U$32)</f>
        <v>-0.0006345680281991</v>
      </c>
      <c r="W42" s="30">
        <f>BDER!$D100/1000+ajustes!J23</f>
        <v>0.01202</v>
      </c>
      <c r="X42" s="220">
        <f>IF(W$32=0,"N.D.",W42/W$32)</f>
        <v>3.6885920012177E-5</v>
      </c>
      <c r="Y42" s="11">
        <f>BDER!$D122/1000+ajustes!K23</f>
        <v>-0.13009</v>
      </c>
      <c r="Z42" s="220">
        <f>IF(Y$32=0,"N.D.",Y42/Y$32)</f>
        <v>-0.00049265318488222</v>
      </c>
      <c r="AA42" s="206">
        <f>SUM(O42,Q42,S42,U42,W42,Y42)</f>
        <v>166.32413</v>
      </c>
      <c r="AB42" s="220">
        <f>IF(AA$32=0,"N.D.",AA42/AA$32)</f>
        <v>0.0031209524188964</v>
      </c>
      <c r="AC42" s="276"/>
      <c r="AE42" s="7" t="s">
        <v>36</v>
      </c>
      <c r="AF42" s="8">
        <f>BDER!$D298/1000+ajustes!L23</f>
        <v>-0.96553</v>
      </c>
      <c r="AG42" s="220">
        <f>IF(AF$32=0,"N.D.",AF42/AF$32)</f>
        <v>-1.8366016229198E-5</v>
      </c>
      <c r="AH42" s="8">
        <f>BDER!$D320/1000+ajustes!M23</f>
        <v>6.13</v>
      </c>
      <c r="AI42" s="220">
        <f>IF(AH$32=0,"N.D.",AH42/AH$32)</f>
        <v>0.00017728239709678</v>
      </c>
      <c r="AJ42" s="8">
        <f>BDER!$D364/1000+ajustes!N23</f>
        <v>0</v>
      </c>
      <c r="AK42" s="220">
        <f>IF(AJ$32=0,"N.D.",AJ42/AJ$32)</f>
        <v>0</v>
      </c>
      <c r="AL42" s="8">
        <f>BDER!$D342/2000+ajustes!O23</f>
        <v>0</v>
      </c>
      <c r="AM42" s="220">
        <f>IF(AL$32=0,"N.D.",AL42/AL$32)</f>
        <v>0</v>
      </c>
      <c r="AN42" s="8">
        <f>ajustes!P23</f>
        <v>0</v>
      </c>
      <c r="AO42" s="220" t="str">
        <f>IF(AN$32=0,"N.D.",AN42/AN$32)</f>
        <v>N.D.</v>
      </c>
      <c r="AP42" s="8">
        <f>BDER!$D408/1000+ajustes!Q23</f>
        <v>0</v>
      </c>
      <c r="AQ42" s="220">
        <f>IF(AP$32=0,"N.D.",AP42/AP$32)</f>
        <v>0</v>
      </c>
      <c r="AR42" s="8">
        <f>BDER!$D386/1000+ajustes!R23</f>
        <v>749.57076</v>
      </c>
      <c r="AS42" s="220">
        <f>IF(AR$32=0,"N.D.",AR42/AR$32)</f>
        <v>0.011737065674239</v>
      </c>
      <c r="AT42" s="8">
        <f>SUM(AF42,AH42,AJ42,AL42,AP42,AR42,AN42)</f>
        <v>754.73523</v>
      </c>
      <c r="AU42" s="220">
        <f>IF(AT$32=0,"N.D.",AT42/AT$32)</f>
        <v>0.0043748890699555</v>
      </c>
      <c r="AX42" s="7" t="s">
        <v>36</v>
      </c>
      <c r="AY42" s="8">
        <f>BDER!$D452/1000+ajustes!S23</f>
        <v>17.21902</v>
      </c>
      <c r="AZ42" s="220">
        <f>IF(AY$32=0,"N.D.",AY42/AY$32)</f>
        <v>0.0027503023827695</v>
      </c>
      <c r="BA42" s="204">
        <f>BDER!$D430/1000+ajustes!T23</f>
        <v>0</v>
      </c>
      <c r="BB42" s="220">
        <f>IF(BA$32=0,"N.D.",BA42/BA$32)</f>
        <v>0</v>
      </c>
      <c r="BC42" s="204">
        <f>SUM(AY42,BA42)</f>
        <v>17.21902</v>
      </c>
      <c r="BD42" s="220">
        <f>IF(BC$32=0,"N.D.",BC42/BC$32)</f>
        <v>0.0023247238805296</v>
      </c>
      <c r="BE42" s="187"/>
      <c r="BG42" s="7" t="s">
        <v>111</v>
      </c>
      <c r="BH42" s="194">
        <f>BDER!$D$678/1000+ajustes!U24</f>
        <v>0</v>
      </c>
      <c r="BI42" s="220" t="str">
        <f>IF(BH$32=0,"N.D.",BH42/BH$32)</f>
        <v>N.D.</v>
      </c>
      <c r="BJ42" s="194">
        <f>BDER!$D476/1000+ajustes!V24</f>
        <v>-1.12845</v>
      </c>
      <c r="BK42" s="220">
        <f>IF(BJ$32=0,"N.D.",BJ42/BJ$32)</f>
        <v>-0.0036347328753979</v>
      </c>
      <c r="BL42" s="8">
        <f>BDER!$D499/1000+ajustes!W24</f>
        <v>-4.1493</v>
      </c>
      <c r="BM42" s="220">
        <f>IF(BL$32=0,"N.D.",BL42/BL$32)</f>
        <v>-0.0068546814956954</v>
      </c>
      <c r="BN42" s="195">
        <f>BDER!$D566/1000+ajustes!X24</f>
        <v>-2.40617</v>
      </c>
      <c r="BO42" s="220">
        <f>IF(BN$32=0,"N.D.",BN42/BN$32)</f>
        <v>-0.0087511780159171</v>
      </c>
      <c r="BP42" s="8">
        <f>BDER!$D611/1000+ajustes!Y24</f>
        <v>-2.44935</v>
      </c>
      <c r="BQ42" s="220">
        <f>IF(BP$32=0,"N.D.",BP42/BP$32)</f>
        <v>-0.0063555647538208</v>
      </c>
      <c r="BR42" s="204">
        <f>SUM(BJ42,BL42,BN42,BP42)+BH42</f>
        <v>-10.13327</v>
      </c>
      <c r="BS42" s="220">
        <f>IF(BR$32=0,"N.D.",BR42/BR$32)</f>
        <v>-0.0064292216345024</v>
      </c>
      <c r="BU42" s="7" t="s">
        <v>111</v>
      </c>
      <c r="BV42" s="194">
        <f>BDER!$D521/1000+ajustes!Z24</f>
        <v>0</v>
      </c>
      <c r="BW42" s="220">
        <f>IF(BV$32=0,"N.D.",BV42/BV$32)</f>
        <v>0</v>
      </c>
      <c r="BX42" s="8">
        <f>BDER!$D588/1000+ajustes!AA24</f>
        <v>0</v>
      </c>
      <c r="BY42" s="220">
        <f>IF(BX$32=0,"N.D.",BX42/BX$32)</f>
        <v>0</v>
      </c>
      <c r="BZ42" s="195">
        <f>BDER!$D633/1000+ajustes!AB24</f>
        <v>0</v>
      </c>
      <c r="CA42" s="220">
        <f>IF(BZ$32=0,"N.D.",BZ42/BZ$32)</f>
        <v>0</v>
      </c>
      <c r="CB42" s="8">
        <f>BDER!$D543/1000+ajustes!AC24</f>
        <v>0</v>
      </c>
      <c r="CC42" s="220">
        <f>IF(CB$32=0,"N.D.",CB42/CB$32)</f>
        <v>0</v>
      </c>
      <c r="CD42" s="204">
        <f>BDER!$D655/1000+ajustes!AD24</f>
        <v>0</v>
      </c>
      <c r="CE42" s="220">
        <f>IF(CD$32=0,"N.D.",CD42/CD$32)</f>
        <v>0</v>
      </c>
      <c r="CF42" s="204">
        <f>SUM(BV42,BX42,BZ42,CB42,CD42)</f>
        <v>0</v>
      </c>
      <c r="CG42" s="220">
        <f>IF(CF$32=0,"N.D.",CF42/CF$32)</f>
        <v>0</v>
      </c>
    </row>
    <row r="43" spans="1:85">
      <c r="B43" s="7" t="s">
        <v>38</v>
      </c>
      <c r="C43" s="198">
        <f>BDER!$D167/1000+ajustes!B24</f>
        <v>0</v>
      </c>
      <c r="D43" s="219" t="str">
        <f>IF(C$32=0,"N.D.",C43/C$32)</f>
        <v>N.D.</v>
      </c>
      <c r="E43" s="11">
        <f>BDER!$D145/1000+ajustes!C24</f>
        <v>0</v>
      </c>
      <c r="F43" s="219" t="str">
        <f>IF(E$32=0,"N.D.",E43/E$32)</f>
        <v>N.D.</v>
      </c>
      <c r="G43" s="30">
        <f>BDER!$D211/1000+ajustes!D24</f>
        <v>0</v>
      </c>
      <c r="H43" s="219" t="str">
        <f>IF(G$32=0,"N.D.",G43/G$32)</f>
        <v>N.D.</v>
      </c>
      <c r="I43" s="11">
        <f>BDER!$D189/1000+ajustes!E24</f>
        <v>0</v>
      </c>
      <c r="J43" s="219" t="str">
        <f>IF(I$32=0,"N.D.",I43/I$32)</f>
        <v>N.D.</v>
      </c>
      <c r="K43" s="206">
        <f>SUM(C43,E43,G43,I43)</f>
        <v>0</v>
      </c>
      <c r="L43" s="219" t="str">
        <f>IF(K$32=0,"N.D.",K43/K$32)</f>
        <v>N.D.</v>
      </c>
      <c r="N43" s="7" t="s">
        <v>38</v>
      </c>
      <c r="O43" s="198">
        <f>BDER!$D13/1000+ajustes!F24</f>
        <v>-263.6498</v>
      </c>
      <c r="P43" s="219">
        <f>IF(O$32=0,"N.D.",O43/O$32)</f>
        <v>-0.0089311914156801</v>
      </c>
      <c r="Q43" s="11">
        <f>BDER!$D35/1000+ajustes!G24</f>
        <v>16.52196</v>
      </c>
      <c r="R43" s="219">
        <f>IF(Q$32=0,"N.D.",Q43/Q$32)</f>
        <v>0.0026369039071331</v>
      </c>
      <c r="S43" s="30">
        <f>BDER!$D57/1000+ajustes!H24</f>
        <v>2</v>
      </c>
      <c r="T43" s="219">
        <f>IF(S$32=0,"N.D.",S43/S$32)</f>
        <v>7.1761671757925E-5</v>
      </c>
      <c r="U43" s="11">
        <f>BDER!$D79/1000+ajustes!I24</f>
        <v>0</v>
      </c>
      <c r="V43" s="219">
        <f>IF(U$32=0,"N.D.",U43/U$32)</f>
        <v>0</v>
      </c>
      <c r="W43" s="30">
        <f>BDER!$D101/1000+ajustes!J24</f>
        <v>-5.59584</v>
      </c>
      <c r="X43" s="219">
        <f>IF(W$32=0,"N.D.",W43/W$32)</f>
        <v>-0.017172022183106</v>
      </c>
      <c r="Y43" s="11">
        <f>BDER!$D123/1000+ajustes!K24</f>
        <v>0</v>
      </c>
      <c r="Z43" s="219">
        <f>IF(Y$32=0,"N.D.",Y43/Y$32)</f>
        <v>0</v>
      </c>
      <c r="AA43" s="206">
        <f>SUM(O43,Q43,S43,U43,W43,Y43)</f>
        <v>-250.72368</v>
      </c>
      <c r="AB43" s="219">
        <f>IF(AA$32=0,"N.D.",AA43/AA$32)</f>
        <v>-0.0047046491424342</v>
      </c>
      <c r="AC43" s="276"/>
      <c r="AE43" s="7" t="s">
        <v>38</v>
      </c>
      <c r="AF43" s="11">
        <f>BDER!$D299/1000+ajustes!L24</f>
        <v>-628.07591</v>
      </c>
      <c r="AG43" s="219">
        <f>IF(AF$32=0,"N.D.",AF43/AF$32)</f>
        <v>-0.011947067782698</v>
      </c>
      <c r="AH43" s="11">
        <f>BDER!$D321/1000+ajustes!M24</f>
        <v>-285.52611</v>
      </c>
      <c r="AI43" s="219">
        <f>IF(AH$32=0,"N.D.",AH43/AH$32)</f>
        <v>-0.0082575453857288</v>
      </c>
      <c r="AJ43" s="11">
        <f>BDER!$D365/1000+ajustes!N24</f>
        <v>-335.98178</v>
      </c>
      <c r="AK43" s="219">
        <f>IF(AJ$32=0,"N.D.",AJ43/AJ$32)</f>
        <v>-0.047619622716567</v>
      </c>
      <c r="AL43" s="11">
        <f>BDER!$D343/2000+ajustes!O24</f>
        <v>0</v>
      </c>
      <c r="AM43" s="219">
        <f>IF(AL$32=0,"N.D.",AL43/AL$32)</f>
        <v>0</v>
      </c>
      <c r="AN43" s="11">
        <f>ajustes!P24</f>
        <v>0</v>
      </c>
      <c r="AO43" s="219" t="str">
        <f>IF(AN$32=0,"N.D.",AN43/AN$32)</f>
        <v>N.D.</v>
      </c>
      <c r="AP43" s="11">
        <f>BDER!$D409/1000+ajustes!Q24</f>
        <v>-12.93192</v>
      </c>
      <c r="AQ43" s="219">
        <f>IF(AP$32=0,"N.D.",AP43/AP$32)</f>
        <v>-0.0025396284198598</v>
      </c>
      <c r="AR43" s="11">
        <f>BDER!$D387/1000+ajustes!R24</f>
        <v>-103.37169</v>
      </c>
      <c r="AS43" s="219">
        <f>IF(AR$32=0,"N.D.",AR43/AR$32)</f>
        <v>-0.0016186334621525</v>
      </c>
      <c r="AT43" s="11">
        <f>SUM(AF43,AH43,AJ43,AL43,AP43,AR43,AN43)</f>
        <v>-1365.88741</v>
      </c>
      <c r="AU43" s="219">
        <f>IF(AT$32=0,"N.D.",AT43/AT$32)</f>
        <v>-0.0079174863757172</v>
      </c>
      <c r="AX43" s="7" t="s">
        <v>38</v>
      </c>
      <c r="AY43" s="11">
        <f>BDER!$D453/1000+ajustes!S24</f>
        <v>0</v>
      </c>
      <c r="AZ43" s="219">
        <f>IF(AY$32=0,"N.D.",AY43/AY$32)</f>
        <v>0</v>
      </c>
      <c r="BA43" s="206">
        <f>BDER!$D431/1000+ajustes!T24</f>
        <v>-8.27559</v>
      </c>
      <c r="BB43" s="219">
        <f>IF(BA$32=0,"N.D.",BA43/BA$32)</f>
        <v>-0.0072204235803146</v>
      </c>
      <c r="BC43" s="206">
        <f>SUM(AY43,BA43)</f>
        <v>-8.27559</v>
      </c>
      <c r="BD43" s="219">
        <f>IF(BC$32=0,"N.D.",BC43/BC$32)</f>
        <v>-0.0011172797115325</v>
      </c>
      <c r="BE43" s="187"/>
      <c r="BG43" s="7" t="s">
        <v>112</v>
      </c>
      <c r="BH43" s="198">
        <f>BDER!$D$679/1000+ajustes!U25</f>
        <v>0</v>
      </c>
      <c r="BI43" s="219" t="str">
        <f>IF(BH$32=0,"N.D.",BH43/BH$32)</f>
        <v>N.D.</v>
      </c>
      <c r="BJ43" s="198">
        <f>BDER!$D477/1000+ajustes!V25</f>
        <v>0</v>
      </c>
      <c r="BK43" s="219">
        <f>IF(BJ$32=0,"N.D.",BJ43/BJ$32)</f>
        <v>0</v>
      </c>
      <c r="BL43" s="11">
        <f>BDER!$D500/1000+ajustes!W25</f>
        <v>0</v>
      </c>
      <c r="BM43" s="219">
        <f>IF(BL$32=0,"N.D.",BL43/BL$32)</f>
        <v>0</v>
      </c>
      <c r="BN43" s="30">
        <f>BDER!$D567/1000+ajustes!X25</f>
        <v>0</v>
      </c>
      <c r="BO43" s="219">
        <f>IF(BN$32=0,"N.D.",BN43/BN$32)</f>
        <v>0</v>
      </c>
      <c r="BP43" s="11">
        <f>BDER!$D612/1000+ajustes!Y25</f>
        <v>0</v>
      </c>
      <c r="BQ43" s="219">
        <f>IF(BP$32=0,"N.D.",BP43/BP$32)</f>
        <v>0</v>
      </c>
      <c r="BR43" s="206">
        <f>SUM(BJ43,BL43,BN43,BP43)+BH43</f>
        <v>0</v>
      </c>
      <c r="BS43" s="219">
        <f>IF(BR$32=0,"N.D.",BR43/BR$32)</f>
        <v>0</v>
      </c>
      <c r="BU43" s="7" t="s">
        <v>112</v>
      </c>
      <c r="BV43" s="198">
        <f>BDER!$D522/1000+ajustes!Z25</f>
        <v>5.05956</v>
      </c>
      <c r="BW43" s="219">
        <f>IF(BV$32=0,"N.D.",BV43/BV$32)</f>
        <v>0.11412655479938</v>
      </c>
      <c r="BX43" s="11">
        <f>BDER!$D589/1000+ajustes!AA25</f>
        <v>2.53737</v>
      </c>
      <c r="BY43" s="219">
        <f>IF(BX$32=0,"N.D.",BX43/BX$32)</f>
        <v>0.084990951140176</v>
      </c>
      <c r="BZ43" s="30">
        <f>BDER!$D634/1000+ajustes!AB25</f>
        <v>1.3479</v>
      </c>
      <c r="CA43" s="219">
        <f>IF(BZ$32=0,"N.D.",BZ43/BZ$32)</f>
        <v>0.067448014139113</v>
      </c>
      <c r="CB43" s="11">
        <f>BDER!$D544/1000+ajustes!AC25</f>
        <v>0</v>
      </c>
      <c r="CC43" s="219">
        <f>IF(CB$32=0,"N.D.",CB43/CB$32)</f>
        <v>0</v>
      </c>
      <c r="CD43" s="206">
        <f>BDER!$D656/1000+ajustes!AD25</f>
        <v>2.91521</v>
      </c>
      <c r="CE43" s="219">
        <f>IF(CD$32=0,"N.D.",CD43/CD$32)</f>
        <v>0.56245610650203</v>
      </c>
      <c r="CF43" s="206">
        <f>SUM(BV43,BX43,BZ43,CB43,CD43)</f>
        <v>11.86004</v>
      </c>
      <c r="CG43" s="219">
        <f>IF(CF$32=0,"N.D.",CF43/CF$32)</f>
        <v>0.1150368349419</v>
      </c>
    </row>
    <row r="44" spans="1:85">
      <c r="B44" s="7" t="s">
        <v>39</v>
      </c>
      <c r="C44" s="198">
        <f>BDER!$D168/1000+ajustes!B25</f>
        <v>0</v>
      </c>
      <c r="D44" s="219" t="str">
        <f>IF(C$32=0,"N.D.",C44/C$32)</f>
        <v>N.D.</v>
      </c>
      <c r="E44" s="11">
        <f>BDER!$D146/1000+ajustes!C25</f>
        <v>0</v>
      </c>
      <c r="F44" s="219" t="str">
        <f>IF(E$32=0,"N.D.",E44/E$32)</f>
        <v>N.D.</v>
      </c>
      <c r="G44" s="30">
        <f>BDER!$D212/1000+ajustes!D25</f>
        <v>0</v>
      </c>
      <c r="H44" s="219" t="str">
        <f>IF(G$32=0,"N.D.",G44/G$32)</f>
        <v>N.D.</v>
      </c>
      <c r="I44" s="11">
        <f>BDER!$D190/1000+ajustes!E25</f>
        <v>0</v>
      </c>
      <c r="J44" s="219" t="str">
        <f>IF(I$32=0,"N.D.",I44/I$32)</f>
        <v>N.D.</v>
      </c>
      <c r="K44" s="206">
        <f>SUM(C44,E44,G44,I44)</f>
        <v>0</v>
      </c>
      <c r="L44" s="219" t="str">
        <f>IF(K$32=0,"N.D.",K44/K$32)</f>
        <v>N.D.</v>
      </c>
      <c r="N44" s="7" t="s">
        <v>39</v>
      </c>
      <c r="O44" s="198">
        <f>BDER!$D14/1000+ajustes!F25</f>
        <v>713.41355</v>
      </c>
      <c r="P44" s="219">
        <f>IF(O$32=0,"N.D.",O44/O$32)</f>
        <v>0.024167031318021</v>
      </c>
      <c r="Q44" s="11">
        <f>BDER!$D36/1000+ajustes!G25</f>
        <v>1.0768</v>
      </c>
      <c r="R44" s="219">
        <f>IF(Q$32=0,"N.D.",Q44/Q$32)</f>
        <v>0.00017185722076563</v>
      </c>
      <c r="S44" s="30">
        <f>BDER!$D58/1000+ajustes!H25</f>
        <v>187.72045</v>
      </c>
      <c r="T44" s="219">
        <f>IF(S$32=0,"N.D.",S44/S$32)</f>
        <v>0.006735566657575</v>
      </c>
      <c r="U44" s="11">
        <f>BDER!$D80/1000+ajustes!I25</f>
        <v>4.55941</v>
      </c>
      <c r="V44" s="219">
        <f>IF(U$32=0,"N.D.",U44/U$32)</f>
        <v>0.0013199400597872</v>
      </c>
      <c r="W44" s="30">
        <f>BDER!$D102/1000+ajustes!J25</f>
        <v>0.86777</v>
      </c>
      <c r="X44" s="219">
        <f>IF(W$32=0,"N.D.",W44/W$32)</f>
        <v>0.0026629363401802</v>
      </c>
      <c r="Y44" s="11">
        <f>BDER!$D124/1000+ajustes!K25</f>
        <v>1.53425</v>
      </c>
      <c r="Z44" s="219">
        <f>IF(Y$32=0,"N.D.",Y44/Y$32)</f>
        <v>0.0058102325229115</v>
      </c>
      <c r="AA44" s="206">
        <f>SUM(O44,Q44,S44,U44,W44,Y44)</f>
        <v>909.17223</v>
      </c>
      <c r="AB44" s="219">
        <f>IF(AA$32=0,"N.D.",AA44/AA$32)</f>
        <v>0.017059961596745</v>
      </c>
      <c r="AC44" s="276"/>
      <c r="AE44" s="7" t="s">
        <v>39</v>
      </c>
      <c r="AF44" s="11">
        <f>BDER!$D300/1000+ajustes!L25</f>
        <v>0.02286</v>
      </c>
      <c r="AG44" s="219">
        <f>IF(AF$32=0,"N.D.",AF44/AF$32)</f>
        <v>4.3483592534615E-7</v>
      </c>
      <c r="AH44" s="11">
        <f>BDER!$D322/1000+ajustes!M25</f>
        <v>0.78415</v>
      </c>
      <c r="AI44" s="219">
        <f>IF(AH$32=0,"N.D.",AH44/AH$32)</f>
        <v>2.2677975804802E-5</v>
      </c>
      <c r="AJ44" s="11">
        <f>BDER!$D366/1000+ajustes!N25</f>
        <v>0</v>
      </c>
      <c r="AK44" s="219">
        <f>IF(AJ$32=0,"N.D.",AJ44/AJ$32)</f>
        <v>0</v>
      </c>
      <c r="AL44" s="11">
        <f>BDER!$D344/2000+ajustes!O25</f>
        <v>15.36775</v>
      </c>
      <c r="AM44" s="219">
        <f>IF(AL$32=0,"N.D.",AL44/AL$32)</f>
        <v>0.0016427331484717</v>
      </c>
      <c r="AN44" s="11">
        <f>ajustes!P25</f>
        <v>0</v>
      </c>
      <c r="AO44" s="219" t="str">
        <f>IF(AN$32=0,"N.D.",AN44/AN$32)</f>
        <v>N.D.</v>
      </c>
      <c r="AP44" s="11">
        <f>BDER!$D410/1000+ajustes!Q25</f>
        <v>0</v>
      </c>
      <c r="AQ44" s="219">
        <f>IF(AP$32=0,"N.D.",AP44/AP$32)</f>
        <v>0</v>
      </c>
      <c r="AR44" s="11">
        <f>BDER!$D388/1000+ajustes!R25</f>
        <v>188.6404</v>
      </c>
      <c r="AS44" s="219">
        <f>IF(AR$32=0,"N.D.",AR44/AR$32)</f>
        <v>0.0029538035389945</v>
      </c>
      <c r="AT44" s="11">
        <f>SUM(AF44,AH44,AJ44,AL44,AP44,AR44,AN44)</f>
        <v>204.81516</v>
      </c>
      <c r="AU44" s="219">
        <f>IF(AT$32=0,"N.D.",AT44/AT$32)</f>
        <v>0.0011872290695178</v>
      </c>
      <c r="AX44" s="7" t="s">
        <v>39</v>
      </c>
      <c r="AY44" s="11">
        <f>BDER!$D454/1000+ajustes!S25</f>
        <v>2.88239</v>
      </c>
      <c r="AZ44" s="219">
        <f>IF(AY$32=0,"N.D.",AY44/AY$32)</f>
        <v>0.00046038880755531</v>
      </c>
      <c r="BA44" s="206">
        <f>BDER!$D432/1000+ajustes!T25</f>
        <v>1.40912</v>
      </c>
      <c r="BB44" s="219">
        <f>IF(BA$32=0,"N.D.",BA44/BA$32)</f>
        <v>0.0012294523140336</v>
      </c>
      <c r="BC44" s="206">
        <f>SUM(AY44,BA44)</f>
        <v>4.29151</v>
      </c>
      <c r="BD44" s="219">
        <f>IF(BC$32=0,"N.D.",BC44/BC$32)</f>
        <v>0.00057939277499717</v>
      </c>
      <c r="BE44" s="187"/>
      <c r="BG44" s="7" t="s">
        <v>113</v>
      </c>
      <c r="BH44" s="198">
        <f>BDER!$D$680/1000+ajustes!U26</f>
        <v>0</v>
      </c>
      <c r="BI44" s="219" t="str">
        <f>IF(BH$32=0,"N.D.",BH44/BH$32)</f>
        <v>N.D.</v>
      </c>
      <c r="BJ44" s="196">
        <f>BDER!$D478/1000+ajustes!V26</f>
        <v>0</v>
      </c>
      <c r="BK44" s="219">
        <f>IF(BJ$32=0,"N.D.",BJ44/BJ$32)</f>
        <v>0</v>
      </c>
      <c r="BL44" s="34">
        <f>BDER!$D501/1000+ajustes!W26</f>
        <v>0</v>
      </c>
      <c r="BM44" s="219">
        <f>IF(BL$32=0,"N.D.",BL44/BL$32)</f>
        <v>0</v>
      </c>
      <c r="BN44" s="197">
        <f>BDER!$D568/1000+ajustes!X26</f>
        <v>0</v>
      </c>
      <c r="BO44" s="219">
        <f>IF(BN$32=0,"N.D.",BN44/BN$32)</f>
        <v>0</v>
      </c>
      <c r="BP44" s="34">
        <f>BDER!$D613/1000+ajustes!Y26</f>
        <v>0</v>
      </c>
      <c r="BQ44" s="219">
        <f>IF(BP$32=0,"N.D.",BP44/BP$32)</f>
        <v>0</v>
      </c>
      <c r="BR44" s="206">
        <f>SUM(BJ44,BL44,BN44,BP44)+BH44</f>
        <v>0</v>
      </c>
      <c r="BS44" s="219">
        <f>IF(BR$32=0,"N.D.",BR44/BR$32)</f>
        <v>0</v>
      </c>
      <c r="BU44" s="7" t="s">
        <v>113</v>
      </c>
      <c r="BV44" s="196">
        <f>BDER!$D523/1000+ajustes!Z26</f>
        <v>0</v>
      </c>
      <c r="BW44" s="219">
        <f>IF(BV$32=0,"N.D.",BV44/BV$32)</f>
        <v>0</v>
      </c>
      <c r="BX44" s="34">
        <f>BDER!$D590/1000+ajustes!AA26</f>
        <v>0</v>
      </c>
      <c r="BY44" s="219">
        <f>IF(BX$32=0,"N.D.",BX44/BX$32)</f>
        <v>0</v>
      </c>
      <c r="BZ44" s="197">
        <f>BDER!$D635/1000+ajustes!AB26</f>
        <v>0</v>
      </c>
      <c r="CA44" s="219">
        <f>IF(BZ$32=0,"N.D.",BZ44/BZ$32)</f>
        <v>0</v>
      </c>
      <c r="CB44" s="34">
        <f>BDER!$D545/1000+ajustes!AC26</f>
        <v>0</v>
      </c>
      <c r="CC44" s="219">
        <f>IF(CB$32=0,"N.D.",CB44/CB$32)</f>
        <v>0</v>
      </c>
      <c r="CD44" s="207">
        <f>BDER!$D657/1000+ajustes!AD26</f>
        <v>0</v>
      </c>
      <c r="CE44" s="219">
        <f>IF(CD$32=0,"N.D.",CD44/CD$32)</f>
        <v>0</v>
      </c>
      <c r="CF44" s="206">
        <f>SUM(BV44,BX44,BZ44,CB44,CD44)</f>
        <v>0</v>
      </c>
      <c r="CG44" s="219">
        <f>IF(CF$32=0,"N.D.",CF44/CF$32)</f>
        <v>0</v>
      </c>
    </row>
    <row r="45" spans="1:85">
      <c r="B45" s="7" t="s">
        <v>40</v>
      </c>
      <c r="C45" s="198">
        <f>BDER!$D169/1000-BDER!$D169/1000+ajustes!B26</f>
        <v>0</v>
      </c>
      <c r="D45" s="219" t="str">
        <f>IF(C$32=0,"N.D.",C45/C$32)</f>
        <v>N.D.</v>
      </c>
      <c r="E45" s="11">
        <f>BDER!$D147/1000+ajustes!C26</f>
        <v>0</v>
      </c>
      <c r="F45" s="219" t="str">
        <f>IF(E$32=0,"N.D.",E45/E$32)</f>
        <v>N.D.</v>
      </c>
      <c r="G45" s="30">
        <f>BDER!$D213/1000+ajustes!D26</f>
        <v>0</v>
      </c>
      <c r="H45" s="219" t="str">
        <f>IF(G$32=0,"N.D.",G45/G$32)</f>
        <v>N.D.</v>
      </c>
      <c r="I45" s="11">
        <f>BDER!$D191/1000+ajustes!E26</f>
        <v>0</v>
      </c>
      <c r="J45" s="219" t="str">
        <f>IF(I$32=0,"N.D.",I45/I$32)</f>
        <v>N.D.</v>
      </c>
      <c r="K45" s="206">
        <f>SUM(C45,E45,G45,I45)</f>
        <v>0</v>
      </c>
      <c r="L45" s="219" t="str">
        <f>IF(K$32=0,"N.D.",K45/K$32)</f>
        <v>N.D.</v>
      </c>
      <c r="N45" s="7" t="s">
        <v>40</v>
      </c>
      <c r="O45" s="198">
        <f>BDER!$D15/1000+ajustes!F26</f>
        <v>18.10625</v>
      </c>
      <c r="P45" s="219">
        <f>IF(O$32=0,"N.D.",O45/O$32)</f>
        <v>0.00061335295748435</v>
      </c>
      <c r="Q45" s="11">
        <f>BDER!$D37/1000+ajustes!G26</f>
        <v>8.28399</v>
      </c>
      <c r="R45" s="219">
        <f>IF(Q$32=0,"N.D.",Q45/Q$32)</f>
        <v>0.0013221243483008</v>
      </c>
      <c r="S45" s="30">
        <f>BDER!$D59/1000+ajustes!H26</f>
        <v>5.3324</v>
      </c>
      <c r="T45" s="219">
        <f>IF(S$32=0,"N.D.",S45/S$32)</f>
        <v>0.00019133096924098</v>
      </c>
      <c r="U45" s="11">
        <f>BDER!$D81/1000+ajustes!I26</f>
        <v>0</v>
      </c>
      <c r="V45" s="219">
        <f>IF(U$32=0,"N.D.",U45/U$32)</f>
        <v>0</v>
      </c>
      <c r="W45" s="30">
        <f>BDER!$D103/1000+ajustes!J26</f>
        <v>0</v>
      </c>
      <c r="X45" s="219">
        <f>IF(W$32=0,"N.D.",W45/W$32)</f>
        <v>0</v>
      </c>
      <c r="Y45" s="11">
        <f>BDER!$D125/1000+ajustes!K26</f>
        <v>8.0E-5</v>
      </c>
      <c r="Z45" s="219">
        <f>IF(Y$32=0,"N.D.",Y45/Y$32)</f>
        <v>3.0296144815572E-7</v>
      </c>
      <c r="AA45" s="206">
        <f>SUM(O45,Q45,S45,U45,W45,Y45)</f>
        <v>31.72272</v>
      </c>
      <c r="AB45" s="219">
        <f>IF(AA$32=0,"N.D.",AA45/AA$32)</f>
        <v>0.00059525397618478</v>
      </c>
      <c r="AC45" s="276"/>
      <c r="AE45" s="7" t="s">
        <v>40</v>
      </c>
      <c r="AF45" s="11">
        <f>BDER!$D301/1000+ajustes!L26</f>
        <v>0.00022</v>
      </c>
      <c r="AG45" s="219">
        <f>IF(AF$32=0,"N.D.",AF45/AF$32)</f>
        <v>4.1847726848711E-9</v>
      </c>
      <c r="AH45" s="11">
        <f>BDER!$D323/1000+ajustes!M26</f>
        <v>0.05616</v>
      </c>
      <c r="AI45" s="219">
        <f>IF(AH$32=0,"N.D.",AH45/AH$32)</f>
        <v>1.6241728256044E-6</v>
      </c>
      <c r="AJ45" s="11">
        <f>BDER!$D367/1000+ajustes!N26</f>
        <v>0</v>
      </c>
      <c r="AK45" s="219">
        <f>IF(AJ$32=0,"N.D.",AJ45/AJ$32)</f>
        <v>0</v>
      </c>
      <c r="AL45" s="11">
        <f>BDER!$D345/2000+ajustes!O26</f>
        <v>65.005485</v>
      </c>
      <c r="AM45" s="219">
        <f>IF(AL$32=0,"N.D.",AL45/AL$32)</f>
        <v>0.0069487507957886</v>
      </c>
      <c r="AN45" s="11">
        <f>ajustes!P26</f>
        <v>0</v>
      </c>
      <c r="AO45" s="219" t="str">
        <f>IF(AN$32=0,"N.D.",AN45/AN$32)</f>
        <v>N.D.</v>
      </c>
      <c r="AP45" s="11">
        <f>BDER!$D411/1000+ajustes!Q26</f>
        <v>0.00497</v>
      </c>
      <c r="AQ45" s="219">
        <f>IF(AP$32=0,"N.D.",AP45/AP$32)</f>
        <v>9.7603087915043E-7</v>
      </c>
      <c r="AR45" s="11">
        <f>BDER!$D389/1000+ajustes!R26</f>
        <v>0</v>
      </c>
      <c r="AS45" s="219">
        <f>IF(AR$32=0,"N.D.",AR45/AR$32)</f>
        <v>0</v>
      </c>
      <c r="AT45" s="11">
        <f>SUM(AF45,AH45,AJ45,AL45,AP45,AR45,AN45)</f>
        <v>65.066835</v>
      </c>
      <c r="AU45" s="219">
        <f>IF(AT$32=0,"N.D.",AT45/AT$32)</f>
        <v>0.00037716562569644</v>
      </c>
      <c r="AX45" s="7" t="s">
        <v>40</v>
      </c>
      <c r="AY45" s="11">
        <f>BDER!$D455/1000+ajustes!S26</f>
        <v>372.76143</v>
      </c>
      <c r="AZ45" s="219">
        <f>IF(AY$32=0,"N.D.",AY45/AY$32)</f>
        <v>0.059539198463883</v>
      </c>
      <c r="BA45" s="206">
        <f>BDER!$D433/1000+ajustes!T26</f>
        <v>0</v>
      </c>
      <c r="BB45" s="219">
        <f>IF(BA$32=0,"N.D.",BA45/BA$32)</f>
        <v>0</v>
      </c>
      <c r="BC45" s="206">
        <f>SUM(AY45,BA45)</f>
        <v>372.76143</v>
      </c>
      <c r="BD45" s="219">
        <f>IF(BC$32=0,"N.D.",BC45/BC$32)</f>
        <v>0.050326174083158</v>
      </c>
      <c r="BE45" s="187"/>
      <c r="BG45" s="7" t="s">
        <v>114</v>
      </c>
      <c r="BH45" s="14">
        <f>BH42+BH43</f>
        <v>0</v>
      </c>
      <c r="BI45" s="22" t="str">
        <f>IF(BH$32=0,"N.D.",BH45/BH$32)</f>
        <v>N.D.</v>
      </c>
      <c r="BJ45" s="208">
        <f>BJ42+BJ43</f>
        <v>-1.12845</v>
      </c>
      <c r="BK45" s="22">
        <f>IF(BJ$32=0,"N.D.",BJ45/BJ$32)</f>
        <v>-0.0036347328753979</v>
      </c>
      <c r="BL45" s="208">
        <f>BL42+BL43</f>
        <v>-4.1493</v>
      </c>
      <c r="BM45" s="22">
        <f>IF(BL$32=0,"N.D.",BL45/BL$32)</f>
        <v>-0.0068546814956954</v>
      </c>
      <c r="BN45" s="208">
        <f>BN42+BN43</f>
        <v>-2.40617</v>
      </c>
      <c r="BO45" s="22">
        <f>IF(BN$32=0,"N.D.",BN45/BN$32)</f>
        <v>-0.0087511780159171</v>
      </c>
      <c r="BP45" s="208">
        <f>BP42+BP43</f>
        <v>-2.44935</v>
      </c>
      <c r="BQ45" s="22">
        <f>IF(BP$32=0,"N.D.",BP45/BP$32)</f>
        <v>-0.0063555647538208</v>
      </c>
      <c r="BR45" s="14">
        <f>BR42+BR43</f>
        <v>-10.13327</v>
      </c>
      <c r="BS45" s="22">
        <f>IF(BR$32=0,"N.D.",BR45/BR$32)</f>
        <v>-0.0064292216345024</v>
      </c>
      <c r="BU45" s="7" t="s">
        <v>114</v>
      </c>
      <c r="BV45" s="208">
        <f>BV42+BV43</f>
        <v>5.05956</v>
      </c>
      <c r="BW45" s="22">
        <f>IF(BV$32=0,"N.D.",BV45/BV$32)</f>
        <v>0.11412655479938</v>
      </c>
      <c r="BX45" s="208">
        <f>BX42+BX43</f>
        <v>2.53737</v>
      </c>
      <c r="BY45" s="22">
        <f>IF(BX$32=0,"N.D.",BX45/BX$32)</f>
        <v>0.084990951140176</v>
      </c>
      <c r="BZ45" s="208">
        <f>BZ42+BZ43</f>
        <v>1.3479</v>
      </c>
      <c r="CA45" s="22">
        <f>IF(BZ$32=0,"N.D.",BZ45/BZ$32)</f>
        <v>0.067448014139113</v>
      </c>
      <c r="CB45" s="208">
        <f>CB42+CB43</f>
        <v>0</v>
      </c>
      <c r="CC45" s="22">
        <f>IF(CB$32=0,"N.D.",CB45/CB$32)</f>
        <v>0</v>
      </c>
      <c r="CD45" s="208">
        <f>CD42+CD43</f>
        <v>2.91521</v>
      </c>
      <c r="CE45" s="22">
        <f>IF(CD$32=0,"N.D.",CD45/CD$32)</f>
        <v>0.56245610650203</v>
      </c>
      <c r="CF45" s="14">
        <f>CF42+CF43</f>
        <v>11.86004</v>
      </c>
      <c r="CG45" s="22">
        <f>IF(CF$32=0,"N.D.",CF45/CF$32)</f>
        <v>0.1150368349419</v>
      </c>
    </row>
    <row r="46" spans="1:85">
      <c r="B46" s="7" t="s">
        <v>115</v>
      </c>
      <c r="C46" s="196">
        <f>BDER!$D170/1000+ajustes!B27</f>
        <v>0</v>
      </c>
      <c r="D46" s="219" t="str">
        <f>IF(C$32=0,"N.D.",C46/C$32)</f>
        <v>N.D.</v>
      </c>
      <c r="E46" s="34">
        <f>BDER!$D148/1000+ajustes!C27</f>
        <v>0</v>
      </c>
      <c r="F46" s="219" t="str">
        <f>IF(E$32=0,"N.D.",E46/E$32)</f>
        <v>N.D.</v>
      </c>
      <c r="G46" s="197">
        <f>BDER!$D214/1000+ajustes!D27</f>
        <v>0</v>
      </c>
      <c r="H46" s="219" t="str">
        <f>IF(G$32=0,"N.D.",G46/G$32)</f>
        <v>N.D.</v>
      </c>
      <c r="I46" s="34">
        <f>BDER!$D192/1000+ajustes!E27</f>
        <v>0</v>
      </c>
      <c r="J46" s="219" t="str">
        <f>IF(I$32=0,"N.D.",I46/I$32)</f>
        <v>N.D.</v>
      </c>
      <c r="K46" s="207">
        <f>SUM(C46,E46,G46,I46)</f>
        <v>0</v>
      </c>
      <c r="L46" s="219" t="str">
        <f>IF(K$32=0,"N.D.",K46/K$32)</f>
        <v>N.D.</v>
      </c>
      <c r="N46" s="7" t="s">
        <v>115</v>
      </c>
      <c r="O46" s="196">
        <f>BDER!$D16/1000+ajustes!F27</f>
        <v>0</v>
      </c>
      <c r="P46" s="219">
        <f>IF(O$32=0,"N.D.",O46/O$32)</f>
        <v>0</v>
      </c>
      <c r="Q46" s="34">
        <f>BDER!$D38/1000+ajustes!G27</f>
        <v>0</v>
      </c>
      <c r="R46" s="219">
        <f>IF(Q$32=0,"N.D.",Q46/Q$32)</f>
        <v>0</v>
      </c>
      <c r="S46" s="197">
        <f>BDER!$D60/1000+ajustes!H27</f>
        <v>0</v>
      </c>
      <c r="T46" s="219">
        <f>IF(S$32=0,"N.D.",S46/S$32)</f>
        <v>0</v>
      </c>
      <c r="U46" s="34">
        <f>BDER!$D82/1000+ajustes!I27</f>
        <v>0</v>
      </c>
      <c r="V46" s="219">
        <f>IF(U$32=0,"N.D.",U46/U$32)</f>
        <v>0</v>
      </c>
      <c r="W46" s="197">
        <f>BDER!$D104/1000+ajustes!J27</f>
        <v>0</v>
      </c>
      <c r="X46" s="219">
        <f>IF(W$32=0,"N.D.",W46/W$32)</f>
        <v>0</v>
      </c>
      <c r="Y46" s="34">
        <f>BDER!$D126/1000+ajustes!K27</f>
        <v>0</v>
      </c>
      <c r="Z46" s="219">
        <f>IF(Y$32=0,"N.D.",Y46/Y$32)</f>
        <v>0</v>
      </c>
      <c r="AA46" s="207">
        <f>SUM(O46,Q46,S46,U46,W46,Y46)</f>
        <v>0</v>
      </c>
      <c r="AB46" s="219">
        <f>IF(AA$32=0,"N.D.",AA46/AA$32)</f>
        <v>0</v>
      </c>
      <c r="AC46" s="276"/>
      <c r="AE46" s="7" t="s">
        <v>115</v>
      </c>
      <c r="AF46" s="11">
        <f>BDER!$D302/1000+ajustes!L27</f>
        <v>0</v>
      </c>
      <c r="AG46" s="219">
        <f>IF(AF$32=0,"N.D.",AF46/AF$32)</f>
        <v>0</v>
      </c>
      <c r="AH46" s="11">
        <f>BDER!$D324/1000+ajustes!M27</f>
        <v>0</v>
      </c>
      <c r="AI46" s="219">
        <f>IF(AH$32=0,"N.D.",AH46/AH$32)</f>
        <v>0</v>
      </c>
      <c r="AJ46" s="11">
        <f>BDER!$D368/1000+ajustes!N27</f>
        <v>0</v>
      </c>
      <c r="AK46" s="219">
        <f>IF(AJ$32=0,"N.D.",AJ46/AJ$32)</f>
        <v>0</v>
      </c>
      <c r="AL46" s="11">
        <f>BDER!$D346/2000+ajustes!O27</f>
        <v>0</v>
      </c>
      <c r="AM46" s="219">
        <f>IF(AL$32=0,"N.D.",AL46/AL$32)</f>
        <v>0</v>
      </c>
      <c r="AN46" s="11">
        <f>ajustes!P27</f>
        <v>0</v>
      </c>
      <c r="AO46" s="219" t="str">
        <f>IF(AN$32=0,"N.D.",AN46/AN$32)</f>
        <v>N.D.</v>
      </c>
      <c r="AP46" s="11">
        <f>BDER!$D412/1000+ajustes!Q27</f>
        <v>0</v>
      </c>
      <c r="AQ46" s="219">
        <f>IF(AP$32=0,"N.D.",AP46/AP$32)</f>
        <v>0</v>
      </c>
      <c r="AR46" s="11">
        <f>BDER!$D390/1000+ajustes!R27</f>
        <v>0</v>
      </c>
      <c r="AS46" s="219">
        <f>IF(AR$32=0,"N.D.",AR46/AR$32)</f>
        <v>0</v>
      </c>
      <c r="AT46" s="11">
        <f>SUM(AF46,AH46,AJ46,AL46,AP46,AR46,AN46)</f>
        <v>0</v>
      </c>
      <c r="AU46" s="219">
        <f>IF(AT$32=0,"N.D.",AT46/AT$32)</f>
        <v>0</v>
      </c>
      <c r="AX46" s="7" t="s">
        <v>115</v>
      </c>
      <c r="AY46" s="34">
        <f>BDER!$D456/1000+ajustes!S27</f>
        <v>0</v>
      </c>
      <c r="AZ46" s="219">
        <f>IF(AY$32=0,"N.D.",AY46/AY$32)</f>
        <v>0</v>
      </c>
      <c r="BA46" s="207">
        <f>BDER!$D434/1000+ajustes!T27</f>
        <v>0</v>
      </c>
      <c r="BB46" s="219">
        <f>IF(BA$32=0,"N.D.",BA46/BA$32)</f>
        <v>0</v>
      </c>
      <c r="BC46" s="206">
        <f>SUM(AY46,BA46)</f>
        <v>0</v>
      </c>
      <c r="BD46" s="219">
        <f>IF(BC$32=0,"N.D.",BC46/BC$32)</f>
        <v>0</v>
      </c>
      <c r="BE46" s="187"/>
      <c r="BG46" s="7" t="s">
        <v>116</v>
      </c>
      <c r="BH46" s="14">
        <f>BH40-BH45</f>
        <v>-0.01</v>
      </c>
      <c r="BI46" s="22" t="str">
        <f>IF(BH$32=0,"N.D.",BH46/BH$32)</f>
        <v>N.D.</v>
      </c>
      <c r="BJ46" s="14">
        <f>BJ40-BJ45</f>
        <v>15.54709</v>
      </c>
      <c r="BK46" s="22">
        <f>IF(BJ$32=0,"N.D.",BJ46/BJ$32)</f>
        <v>0.050077113863946</v>
      </c>
      <c r="BL46" s="14">
        <f>BL40-BL45</f>
        <v>23.13052</v>
      </c>
      <c r="BM46" s="22">
        <f>IF(BL$32=0,"N.D.",BL46/BL$32)</f>
        <v>0.038211830291811</v>
      </c>
      <c r="BN46" s="14">
        <f>BN40-BN45</f>
        <v>33.29723</v>
      </c>
      <c r="BO46" s="22">
        <f>IF(BN$32=0,"N.D.",BN46/BN$32)</f>
        <v>0.12110116374443</v>
      </c>
      <c r="BP46" s="14">
        <f>BP40-BP45</f>
        <v>27.25808</v>
      </c>
      <c r="BQ46" s="22">
        <f>IF(BP$32=0,"N.D.",BP46/BP$32)</f>
        <v>0.070729169985844</v>
      </c>
      <c r="BR46" s="14">
        <f>BR40-BR45</f>
        <v>99.22292</v>
      </c>
      <c r="BS46" s="22">
        <f>IF(BR$32=0,"N.D.",BR46/BR$32)</f>
        <v>0.062953631345311</v>
      </c>
      <c r="BU46" s="7" t="s">
        <v>116</v>
      </c>
      <c r="BV46" s="14">
        <f>BV40-BV45</f>
        <v>7.54703</v>
      </c>
      <c r="BW46" s="22">
        <f>IF(BV$32=0,"N.D.",BV46/BV$32)</f>
        <v>0.17023546175311</v>
      </c>
      <c r="BX46" s="14">
        <f>BX40-BX45</f>
        <v>15.43337</v>
      </c>
      <c r="BY46" s="22">
        <f>IF(BX$32=0,"N.D.",BX46/BX$32)</f>
        <v>0.51695132976202</v>
      </c>
      <c r="BZ46" s="14">
        <f>BZ40-BZ45</f>
        <v>14.30084</v>
      </c>
      <c r="CA46" s="22">
        <f>IF(BZ$32=0,"N.D.",BZ46/BZ$32)</f>
        <v>0.71560446510958</v>
      </c>
      <c r="CB46" s="14">
        <f>CB40-CB45</f>
        <v>-0.05824</v>
      </c>
      <c r="CC46" s="22">
        <f>IF(CB$32=0,"N.D.",CB46/CB$32)</f>
        <v>-0.015559711461395</v>
      </c>
      <c r="CD46" s="14">
        <f>CD40-CD45</f>
        <v>2.2444</v>
      </c>
      <c r="CE46" s="22">
        <f>IF(CD$32=0,"N.D.",CD46/CD$32)</f>
        <v>0.43303106309087</v>
      </c>
      <c r="CF46" s="14">
        <f>CF40-CF45</f>
        <v>39.4674</v>
      </c>
      <c r="CG46" s="22">
        <f>IF(CF$32=0,"N.D.",CF46/CF$32)</f>
        <v>0.3828153007398</v>
      </c>
    </row>
    <row r="47" spans="1:85">
      <c r="B47" s="4" t="s">
        <v>41</v>
      </c>
      <c r="C47" s="216">
        <f>C42+C43+C44-C45</f>
        <v>0</v>
      </c>
      <c r="D47" s="22" t="str">
        <f>IF(C$32=0,"N.D.",C47/C$32)</f>
        <v>N.D.</v>
      </c>
      <c r="E47" s="208">
        <f>E42+E43+E44-E45</f>
        <v>0</v>
      </c>
      <c r="F47" s="22" t="str">
        <f>IF(E$32=0,"N.D.",E47/E$32)</f>
        <v>N.D.</v>
      </c>
      <c r="G47" s="202">
        <f>G42+G43+G44-G45</f>
        <v>0</v>
      </c>
      <c r="H47" s="22" t="str">
        <f>IF(G$32=0,"N.D.",G47/G$32)</f>
        <v>N.D.</v>
      </c>
      <c r="I47" s="208">
        <f>I42+I43+I44-I45</f>
        <v>0</v>
      </c>
      <c r="J47" s="22" t="str">
        <f>IF(I$32=0,"N.D.",I47/I$32)</f>
        <v>N.D.</v>
      </c>
      <c r="K47" s="213">
        <f>K42+K43+K44-K45</f>
        <v>0</v>
      </c>
      <c r="L47" s="22" t="str">
        <f>IF(K$32=0,"N.D.",K47/K$32)</f>
        <v>N.D.</v>
      </c>
      <c r="N47" s="4" t="s">
        <v>41</v>
      </c>
      <c r="O47" s="216">
        <f>O42+O43+O44-O45</f>
        <v>457.95818</v>
      </c>
      <c r="P47" s="22">
        <f>IF(O$32=0,"N.D.",O47/O$32)</f>
        <v>0.015513427910647</v>
      </c>
      <c r="Q47" s="208">
        <f>Q42+Q43+Q44-Q45</f>
        <v>150.12883</v>
      </c>
      <c r="R47" s="22">
        <f>IF(Q$32=0,"N.D.",Q47/Q$32)</f>
        <v>0.023960553009468</v>
      </c>
      <c r="S47" s="202">
        <f>S42+S43+S44-S45</f>
        <v>185.90747</v>
      </c>
      <c r="T47" s="22">
        <f>IF(S$32=0,"N.D.",S47/S$32)</f>
        <v>0.0066705154197431</v>
      </c>
      <c r="U47" s="208">
        <f>U42+U43+U44-U45</f>
        <v>2.36745</v>
      </c>
      <c r="V47" s="22">
        <f>IF(U$32=0,"N.D.",U47/U$32)</f>
        <v>0.00068537203158815</v>
      </c>
      <c r="W47" s="202">
        <f>W42+W43+W44-W45</f>
        <v>-4.71605</v>
      </c>
      <c r="X47" s="22">
        <f>IF(W$32=0,"N.D.",W47/W$32)</f>
        <v>-0.014472199922914</v>
      </c>
      <c r="Y47" s="208">
        <f>Y42+Y43+Y44-Y45</f>
        <v>1.40408</v>
      </c>
      <c r="Z47" s="22">
        <f>IF(Y$32=0,"N.D.",Y47/Y$32)</f>
        <v>0.0053172763765811</v>
      </c>
      <c r="AA47" s="213">
        <f>AA42+AA43+AA44-AA45</f>
        <v>793.04996</v>
      </c>
      <c r="AB47" s="22">
        <f>IF(AA$32=0,"N.D.",AA47/AA$32)</f>
        <v>0.014881010897022</v>
      </c>
      <c r="AC47" s="277"/>
      <c r="AE47" s="4" t="s">
        <v>41</v>
      </c>
      <c r="AF47" s="14">
        <f>AF42+AF43+AF44-AF45</f>
        <v>-629.0188</v>
      </c>
      <c r="AG47" s="22">
        <f>IF(AF$32=0,"N.D.",AF47/AF$32)</f>
        <v>-0.011965003147775</v>
      </c>
      <c r="AH47" s="14">
        <f>AH42+AH43+AH44-AH45</f>
        <v>-278.66812</v>
      </c>
      <c r="AI47" s="22">
        <f>IF(AH$32=0,"N.D.",AH47/AH$32)</f>
        <v>-0.0080592091856529</v>
      </c>
      <c r="AJ47" s="14">
        <f>AJ42+AJ43+AJ44-AJ45</f>
        <v>-335.98178</v>
      </c>
      <c r="AK47" s="22">
        <f>IF(AJ$32=0,"N.D.",AJ47/AJ$32)</f>
        <v>-0.047619622716567</v>
      </c>
      <c r="AL47" s="14">
        <f>AL42+AL43+AL44-AL45</f>
        <v>-49.637735</v>
      </c>
      <c r="AM47" s="22">
        <f>IF(AL$32=0,"N.D.",AL47/AL$32)</f>
        <v>-0.0053060176473169</v>
      </c>
      <c r="AN47" s="14">
        <f>AN42+AN43+AN44-AN45</f>
        <v>0</v>
      </c>
      <c r="AO47" s="22" t="str">
        <f>IF(AN$32=0,"N.D.",AN47/AN$32)</f>
        <v>N.D.</v>
      </c>
      <c r="AP47" s="14">
        <f>AP42+AP43+AP44-AP45</f>
        <v>-12.93689</v>
      </c>
      <c r="AQ47" s="22">
        <f>IF(AP$32=0,"N.D.",AP47/AP$32)</f>
        <v>-0.0025406044507389</v>
      </c>
      <c r="AR47" s="14">
        <f>AR42+AR43+AR44-AR45</f>
        <v>834.83947</v>
      </c>
      <c r="AS47" s="22">
        <f>IF(AR$32=0,"N.D.",AR47/AR$32)</f>
        <v>0.013072235751081</v>
      </c>
      <c r="AT47" s="14">
        <f>AT42+AT43+AT44-AT45</f>
        <v>-471.403855</v>
      </c>
      <c r="AU47" s="22">
        <f>IF(AT$32=0,"N.D.",AT47/AT$32)</f>
        <v>-0.0027325338619404</v>
      </c>
      <c r="AX47" s="4" t="s">
        <v>41</v>
      </c>
      <c r="AY47" s="208">
        <f>AY42+AY43+AY44-AY45</f>
        <v>-352.66002</v>
      </c>
      <c r="AZ47" s="22">
        <f>IF(AY$32=0,"N.D.",AY47/AY$32)</f>
        <v>-0.056328507273558</v>
      </c>
      <c r="BA47" s="208">
        <f>BA42+BA43+BA44-BA45</f>
        <v>-6.86647</v>
      </c>
      <c r="BB47" s="22">
        <f>IF(BA$32=0,"N.D.",BA47/BA$32)</f>
        <v>-0.0059909712662811</v>
      </c>
      <c r="BC47" s="14">
        <f>BC42+BC43+BC44-BC45</f>
        <v>-359.52649</v>
      </c>
      <c r="BD47" s="22">
        <f>IF(BC$32=0,"N.D.",BC47/BC$32)</f>
        <v>-0.048539337139163</v>
      </c>
      <c r="BE47" s="221"/>
      <c r="BG47" s="4"/>
      <c r="BI47" s="187"/>
      <c r="BK47" s="187"/>
      <c r="BM47" s="187"/>
      <c r="BO47" s="187"/>
      <c r="BQ47" s="187"/>
      <c r="BS47" s="187"/>
      <c r="BU47" s="4"/>
      <c r="BW47" s="187"/>
      <c r="BY47" s="187"/>
      <c r="CA47" s="187"/>
      <c r="CC47" s="187"/>
      <c r="CE47" s="187"/>
      <c r="CG47" s="187"/>
    </row>
    <row r="48" spans="1:85">
      <c r="B48" s="4" t="s">
        <v>42</v>
      </c>
      <c r="C48" s="212">
        <f>C40-C47</f>
        <v>-53.63116</v>
      </c>
      <c r="D48" s="22" t="str">
        <f>IF(C$32=0,"N.D.",C48/C$32)</f>
        <v>N.D.</v>
      </c>
      <c r="E48" s="200">
        <f>E40-E47</f>
        <v>-20.7791</v>
      </c>
      <c r="F48" s="22" t="str">
        <f>IF(E$32=0,"N.D.",E48/E$32)</f>
        <v>N.D.</v>
      </c>
      <c r="G48" s="209">
        <f>G40-G47</f>
        <v>-1.253</v>
      </c>
      <c r="H48" s="22" t="str">
        <f>IF(G$32=0,"N.D.",G48/G$32)</f>
        <v>N.D.</v>
      </c>
      <c r="I48" s="200">
        <f>I40-I47</f>
        <v>-0.975</v>
      </c>
      <c r="J48" s="22" t="str">
        <f>IF(I$32=0,"N.D.",I48/I$32)</f>
        <v>N.D.</v>
      </c>
      <c r="K48" s="210">
        <f>K40-K47</f>
        <v>-76.63826</v>
      </c>
      <c r="L48" s="22" t="str">
        <f>IF(K$32=0,"N.D.",K48/K$32)</f>
        <v>N.D.</v>
      </c>
      <c r="N48" s="4" t="s">
        <v>42</v>
      </c>
      <c r="O48" s="212">
        <f>O40-O47</f>
        <v>3169.16414</v>
      </c>
      <c r="P48" s="22">
        <f>IF(O$32=0,"N.D.",O48/O$32)</f>
        <v>0.10735608963879</v>
      </c>
      <c r="Q48" s="200">
        <f>Q40-Q47</f>
        <v>1313.27134</v>
      </c>
      <c r="R48" s="22">
        <f>IF(Q$32=0,"N.D.",Q48/Q$32)</f>
        <v>0.20959803362143</v>
      </c>
      <c r="S48" s="209">
        <f>S40-S47</f>
        <v>826.64608</v>
      </c>
      <c r="T48" s="22">
        <f>IF(S$32=0,"N.D.",S48/S$32)</f>
        <v>0.029660752326468</v>
      </c>
      <c r="U48" s="200">
        <f>U40-U47</f>
        <v>245.27391</v>
      </c>
      <c r="V48" s="22">
        <f>IF(U$32=0,"N.D.",U48/U$32)</f>
        <v>0.07100630551533</v>
      </c>
      <c r="W48" s="209">
        <f>W40-W47</f>
        <v>-34.93829</v>
      </c>
      <c r="X48" s="22">
        <f>IF(W$32=0,"N.D.",W48/W$32)</f>
        <v>-0.10721555493363</v>
      </c>
      <c r="Y48" s="200">
        <f>Y40-Y47</f>
        <v>47.54929</v>
      </c>
      <c r="Z48" s="22">
        <f>IF(Y$32=0,"N.D.",Y48/Y$32)</f>
        <v>0.18007002196471</v>
      </c>
      <c r="AA48" s="210">
        <f>AA40-AA47</f>
        <v>5566.96647</v>
      </c>
      <c r="AB48" s="22">
        <f>IF(AA$32=0,"N.D.",AA48/AA$32)</f>
        <v>0.1044601133369</v>
      </c>
      <c r="AC48" s="277"/>
      <c r="AE48" s="4" t="s">
        <v>42</v>
      </c>
      <c r="AF48" s="14">
        <f>AF40-AF47</f>
        <v>2450.89792</v>
      </c>
      <c r="AG48" s="22">
        <f>IF(AF$32=0,"N.D.",AF48/AF$32)</f>
        <v>0.046620230313743</v>
      </c>
      <c r="AH48" s="14">
        <f>AH40-AH47</f>
        <v>3085.07045</v>
      </c>
      <c r="AI48" s="22">
        <f>IF(AH$32=0,"N.D.",AH48/AH$32)</f>
        <v>0.089221645120462</v>
      </c>
      <c r="AJ48" s="14">
        <f>AJ40-AJ47</f>
        <v>-1664.96127</v>
      </c>
      <c r="AK48" s="22">
        <f>IF(AJ$32=0,"N.D.",AJ48/AJ$32)</f>
        <v>-0.23597954482858</v>
      </c>
      <c r="AL48" s="14">
        <f>AL40-AL47</f>
        <v>1648.545665</v>
      </c>
      <c r="AM48" s="22">
        <f>IF(AL$32=0,"N.D.",AL48/AL$32)</f>
        <v>0.17622102198857</v>
      </c>
      <c r="AN48" s="14">
        <f>AN40-AN47</f>
        <v>0</v>
      </c>
      <c r="AO48" s="22" t="str">
        <f>IF(AN$32=0,"N.D.",AN48/AN$32)</f>
        <v>N.D.</v>
      </c>
      <c r="AP48" s="14">
        <f>AP40-AP47</f>
        <v>451.74667</v>
      </c>
      <c r="AQ48" s="22">
        <f>IF(AP$32=0,"N.D.",AP48/AP$32)</f>
        <v>0.088716036111344</v>
      </c>
      <c r="AR48" s="14">
        <f>AR40-AR47</f>
        <v>3942.61363</v>
      </c>
      <c r="AS48" s="22">
        <f>IF(AR$32=0,"N.D.",AR48/AR$32)</f>
        <v>0.06173495228584</v>
      </c>
      <c r="AT48" s="14">
        <f>AT40-AT47</f>
        <v>9913.913065</v>
      </c>
      <c r="AU48" s="22">
        <f>IF(AT$32=0,"N.D.",AT48/AT$32)</f>
        <v>0.057466868094335</v>
      </c>
      <c r="AX48" s="4" t="s">
        <v>42</v>
      </c>
      <c r="AY48" s="14">
        <f>AY40-AY47</f>
        <v>3086.90538</v>
      </c>
      <c r="AZ48" s="22">
        <f>IF(AY$32=0,"N.D.",AY48/AY$32)</f>
        <v>0.49305496027056</v>
      </c>
      <c r="BA48" s="14">
        <f>BA40-BA47</f>
        <v>141.62143</v>
      </c>
      <c r="BB48" s="22">
        <f>IF(BA$32=0,"N.D.",BA48/BA$32)</f>
        <v>0.12356420661849</v>
      </c>
      <c r="BC48" s="14">
        <f>BC40-BC47</f>
        <v>3228.52681</v>
      </c>
      <c r="BD48" s="22">
        <f>IF(BC$32=0,"N.D.",BC48/BC$32)</f>
        <v>0.43588040284158</v>
      </c>
      <c r="BE48" s="221"/>
      <c r="BG48" s="7" t="s">
        <v>117</v>
      </c>
      <c r="BH48" s="194">
        <f>BDER!$D$685/1000+ajustes!U28</f>
        <v>0</v>
      </c>
      <c r="BI48" s="220" t="str">
        <f>IF(BH$32=0,"N.D.",BH48/BH$32)</f>
        <v>N.D.</v>
      </c>
      <c r="BJ48" s="195">
        <f>BDER!$D482/1000+ajustes!V28</f>
        <v>0</v>
      </c>
      <c r="BK48" s="220">
        <f>IF(BJ$32=0,"N.D.",BJ48/BJ$32)</f>
        <v>0</v>
      </c>
      <c r="BL48" s="8">
        <f>BDER!$D505/1000+ajustes!W28</f>
        <v>0</v>
      </c>
      <c r="BM48" s="220">
        <f>IF(BL$32=0,"N.D.",BL48/BL$32)</f>
        <v>0</v>
      </c>
      <c r="BN48" s="195">
        <f>BDER!$D572/1000+ajustes!X28</f>
        <v>0</v>
      </c>
      <c r="BO48" s="220">
        <f>IF(BN$32=0,"N.D.",BN48/BN$32)</f>
        <v>0</v>
      </c>
      <c r="BP48" s="8">
        <f>BDER!$D617/1000+ajustes!Y28</f>
        <v>0</v>
      </c>
      <c r="BQ48" s="220">
        <f>IF(BP$32=0,"N.D.",BP48/BP$32)</f>
        <v>0</v>
      </c>
      <c r="BR48" s="204">
        <f>SUM(BJ48,BL48,BN48,BP48)+BH48</f>
        <v>0</v>
      </c>
      <c r="BS48" s="220">
        <f>IF(BR$32=0,"N.D.",BR48/BR$32)</f>
        <v>0</v>
      </c>
      <c r="BU48" s="7" t="s">
        <v>117</v>
      </c>
      <c r="BV48" s="194">
        <f>BDER!$D527/1000+ajustes!Z28</f>
        <v>0</v>
      </c>
      <c r="BW48" s="220">
        <f>IF(BV$32=0,"N.D.",BV48/BV$32)</f>
        <v>0</v>
      </c>
      <c r="BX48" s="8">
        <f>BDER!$D595/1000+ajustes!AA28</f>
        <v>0</v>
      </c>
      <c r="BY48" s="220">
        <f>IF(BX$32=0,"N.D.",BX48/BX$32)</f>
        <v>0</v>
      </c>
      <c r="BZ48" s="195">
        <f>BDER!$D640/1000+ajustes!AB28</f>
        <v>0</v>
      </c>
      <c r="CA48" s="220">
        <f>IF(BZ$32=0,"N.D.",BZ48/BZ$32)</f>
        <v>0</v>
      </c>
      <c r="CB48" s="8">
        <f>BDER!$D550/1000+ajustes!AC28</f>
        <v>0</v>
      </c>
      <c r="CC48" s="220">
        <f>IF(CB$32=0,"N.D.",CB48/CB$32)</f>
        <v>0</v>
      </c>
      <c r="CD48" s="204">
        <f>BDER!$D662/1000+ajustes!AD28</f>
        <v>0</v>
      </c>
      <c r="CE48" s="220">
        <f>IF(CD$32=0,"N.D.",CD48/CD$32)</f>
        <v>0</v>
      </c>
      <c r="CF48" s="204">
        <f>SUM(BV48,BX48,BZ48,CB48,CD48)</f>
        <v>0</v>
      </c>
      <c r="CG48" s="220">
        <f>IF(CF$32=0,"N.D.",CF48/CF$32)</f>
        <v>0</v>
      </c>
    </row>
    <row r="49" spans="1:85">
      <c r="B49" s="1"/>
      <c r="C49" s="217"/>
      <c r="D49" s="30"/>
      <c r="E49" s="217"/>
      <c r="F49" s="30"/>
      <c r="G49" s="217"/>
      <c r="H49" s="30"/>
      <c r="I49" s="217"/>
      <c r="J49" s="30"/>
      <c r="K49" s="217"/>
      <c r="L49" s="30"/>
      <c r="N49" s="1"/>
      <c r="O49" s="217"/>
      <c r="P49" s="30"/>
      <c r="Q49" s="217"/>
      <c r="R49" s="30"/>
      <c r="S49" s="217"/>
      <c r="T49" s="30"/>
      <c r="U49" s="217"/>
      <c r="V49" s="30"/>
      <c r="W49" s="217"/>
      <c r="X49" s="30"/>
      <c r="Y49" s="217"/>
      <c r="Z49" s="30"/>
      <c r="AA49" s="217"/>
      <c r="AB49" s="30"/>
      <c r="AC49" s="275"/>
      <c r="AE49" s="1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X49" s="1"/>
      <c r="AY49" s="30"/>
      <c r="AZ49" s="30"/>
      <c r="BA49" s="30"/>
      <c r="BB49" s="30"/>
      <c r="BC49" s="30"/>
      <c r="BD49" s="30"/>
      <c r="BE49" s="30"/>
      <c r="BG49" s="1" t="s">
        <v>118</v>
      </c>
      <c r="BH49" s="198">
        <f>BDER!$D$684/1000+ajustes!U29</f>
        <v>0</v>
      </c>
      <c r="BI49" s="190" t="str">
        <f>IF(BH$32=0,"N.D.",BH49/BH$32)</f>
        <v>N.D.</v>
      </c>
      <c r="BJ49" s="197">
        <f>BDER!$D483/1000+ajustes!V29</f>
        <v>0</v>
      </c>
      <c r="BK49" s="190">
        <f>IF(BJ$32=0,"N.D.",BJ49/BJ$32)</f>
        <v>0</v>
      </c>
      <c r="BL49" s="34">
        <f>BDER!$D506/1000+ajustes!W29</f>
        <v>0</v>
      </c>
      <c r="BM49" s="190">
        <f>IF(BL$32=0,"N.D.",BL49/BL$32)</f>
        <v>0</v>
      </c>
      <c r="BN49" s="197">
        <f>BDER!$D573/1000+ajustes!X29</f>
        <v>0</v>
      </c>
      <c r="BO49" s="190">
        <f>IF(BN$32=0,"N.D.",BN49/BN$32)</f>
        <v>0</v>
      </c>
      <c r="BP49" s="34">
        <f>BDER!$D618/1000+ajustes!Y29</f>
        <v>0</v>
      </c>
      <c r="BQ49" s="190">
        <f>IF(BP$32=0,"N.D.",BP49/BP$32)</f>
        <v>0</v>
      </c>
      <c r="BR49" s="206">
        <f>SUM(BJ49,BL49,BN49,BP49)+BH49</f>
        <v>0</v>
      </c>
      <c r="BS49" s="190">
        <f>IF(BR$32=0,"N.D.",BR49/BR$32)</f>
        <v>0</v>
      </c>
      <c r="BU49" s="1" t="s">
        <v>118</v>
      </c>
      <c r="BV49" s="196">
        <f>BDER!$D528/1000+ajustes!Z29</f>
        <v>0</v>
      </c>
      <c r="BW49" s="190">
        <f>IF(BV$32=0,"N.D.",BV49/BV$32)</f>
        <v>0</v>
      </c>
      <c r="BX49" s="34">
        <f>BDER!$D594/1000+ajustes!AA29</f>
        <v>0</v>
      </c>
      <c r="BY49" s="190">
        <f>IF(BX$32=0,"N.D.",BX49/BX$32)</f>
        <v>0</v>
      </c>
      <c r="BZ49" s="197">
        <f>BDER!$D639/1000+ajustes!AB29</f>
        <v>0</v>
      </c>
      <c r="CA49" s="190">
        <f>IF(BZ$32=0,"N.D.",BZ49/BZ$32)</f>
        <v>0</v>
      </c>
      <c r="CB49" s="34">
        <f>BDER!$D549/1000+ajustes!AC29</f>
        <v>0</v>
      </c>
      <c r="CC49" s="190">
        <f>IF(CB$32=0,"N.D.",CB49/CB$32)</f>
        <v>0</v>
      </c>
      <c r="CD49" s="207">
        <f>BDER!$D661/1000+ajustes!AD29</f>
        <v>0</v>
      </c>
      <c r="CE49" s="190">
        <f>IF(CD$32=0,"N.D.",CD49/CD$32)</f>
        <v>0</v>
      </c>
      <c r="CF49" s="206">
        <f>SUM(BV49,BX49,BZ49,CB49,CD49)</f>
        <v>0</v>
      </c>
      <c r="CG49" s="190">
        <f>IF(CF$32=0,"N.D.",CF49/CF$32)</f>
        <v>0</v>
      </c>
    </row>
    <row r="50" spans="1:85">
      <c r="B50" s="7" t="s">
        <v>44</v>
      </c>
      <c r="C50" s="198">
        <f>BDER!$D173/1000+ajustes!B28</f>
        <v>0</v>
      </c>
      <c r="D50" s="220" t="str">
        <f>IF(C$32=0,"N.D.",C50/C$32)</f>
        <v>N.D.</v>
      </c>
      <c r="E50" s="11">
        <f>BDER!$D151/1000+ajustes!C28</f>
        <v>0</v>
      </c>
      <c r="F50" s="220" t="str">
        <f>IF(E$32=0,"N.D.",E50/E$32)</f>
        <v>N.D.</v>
      </c>
      <c r="G50" s="30">
        <f>BDER!$D217/1000+ajustes!D28</f>
        <v>0</v>
      </c>
      <c r="H50" s="220" t="str">
        <f>IF(G$32=0,"N.D.",G50/G$32)</f>
        <v>N.D.</v>
      </c>
      <c r="I50" s="11">
        <f>BDER!$D195/1000+ajustes!E28</f>
        <v>0</v>
      </c>
      <c r="J50" s="220" t="str">
        <f>IF(I$32=0,"N.D.",I50/I$32)</f>
        <v>N.D.</v>
      </c>
      <c r="K50" s="206">
        <f>SUM(C50,E50,G50,I50)</f>
        <v>0</v>
      </c>
      <c r="L50" s="220" t="str">
        <f>IF(K$32=0,"N.D.",K50/K$32)</f>
        <v>N.D.</v>
      </c>
      <c r="N50" s="7" t="s">
        <v>44</v>
      </c>
      <c r="O50" s="198">
        <f>BDER!$D19/1000+ajustes!F28</f>
        <v>697.85526</v>
      </c>
      <c r="P50" s="220">
        <f>IF(O$32=0,"N.D.",O50/O$32)</f>
        <v>0.023639991031661</v>
      </c>
      <c r="Q50" s="11">
        <f>BDER!$D41/1000+ajustes!G28</f>
        <v>183.954</v>
      </c>
      <c r="R50" s="220">
        <f>IF(Q$32=0,"N.D.",Q50/Q$32)</f>
        <v>0.029359048280758</v>
      </c>
      <c r="S50" s="30">
        <f>BDER!$D63/1000+ajustes!H28</f>
        <v>541</v>
      </c>
      <c r="T50" s="220">
        <f>IF(S$32=0,"N.D.",S50/S$32)</f>
        <v>0.019411532210519</v>
      </c>
      <c r="U50" s="11">
        <f>BDER!$D85/1000+ajustes!I28</f>
        <v>74.1974</v>
      </c>
      <c r="V50" s="220">
        <f>IF(U$32=0,"N.D.",U50/U$32)</f>
        <v>0.021479998638433</v>
      </c>
      <c r="W50" s="30">
        <f>BDER!$D107/1000+ajustes!J28</f>
        <v>9.463</v>
      </c>
      <c r="X50" s="220">
        <f>IF(W$32=0,"N.D.",W50/W$32)</f>
        <v>0.029039223051184</v>
      </c>
      <c r="Y50" s="11">
        <f>BDER!$D129/1000+ajustes!K28</f>
        <v>30.776</v>
      </c>
      <c r="Z50" s="220">
        <f>IF(Y$32=0,"N.D.",Y50/Y$32)</f>
        <v>0.11654926910551</v>
      </c>
      <c r="AA50" s="206">
        <f>SUM(O50,Q50,S50,U50,W50,Y50)</f>
        <v>1537.24566</v>
      </c>
      <c r="AB50" s="220">
        <f>IF(AA$32=0,"N.D.",AA50/AA$32)</f>
        <v>0.028845306817568</v>
      </c>
      <c r="AC50" s="276"/>
      <c r="AE50" s="7" t="s">
        <v>44</v>
      </c>
      <c r="AF50" s="8">
        <f>BDER!$D305/1000+ajustes!L28</f>
        <v>1382.15146</v>
      </c>
      <c r="AG50" s="220">
        <f>IF(AF$32=0,"N.D.",AF50/AF$32)</f>
        <v>0.026290862164376</v>
      </c>
      <c r="AH50" s="8">
        <f>BDER!$D327/1000+ajustes!M28</f>
        <v>546.01316</v>
      </c>
      <c r="AI50" s="220">
        <f>IF(AH$32=0,"N.D.",AH50/AH$32)</f>
        <v>0.015790949731025</v>
      </c>
      <c r="AJ50" s="8">
        <f>BDER!$D371/1000+ajustes!N28</f>
        <v>187.426</v>
      </c>
      <c r="AK50" s="220">
        <f>IF(AJ$32=0,"N.D.",AJ50/AJ$32)</f>
        <v>0.02656440300803</v>
      </c>
      <c r="AL50" s="8">
        <f>BDER!$D349/2000+ajustes!O28</f>
        <v>455.2685</v>
      </c>
      <c r="AM50" s="220">
        <f>IF(AL$32=0,"N.D.",AL50/AL$32)</f>
        <v>0.048665852607245</v>
      </c>
      <c r="AN50" s="8">
        <f>ajustes!P28</f>
        <v>0</v>
      </c>
      <c r="AO50" s="220" t="str">
        <f>IF(AN$32=0,"N.D.",AN50/AN$32)</f>
        <v>N.D.</v>
      </c>
      <c r="AP50" s="8">
        <f>BDER!$D415/1000+ajustes!Q28</f>
        <v>93.35</v>
      </c>
      <c r="AQ50" s="220">
        <f>IF(AP$32=0,"N.D.",AP50/AP$32)</f>
        <v>0.018332491462514</v>
      </c>
      <c r="AR50" s="8">
        <f>BDER!$D393/1000+ajustes!R28</f>
        <v>1342.979</v>
      </c>
      <c r="AS50" s="220">
        <f>IF(AR$32=0,"N.D.",AR50/AR$32)</f>
        <v>0.021028878877458</v>
      </c>
      <c r="AT50" s="8">
        <f>SUM(AF50,AH50,AJ50,AL50,AP50,AR50,AN50)</f>
        <v>4007.18812</v>
      </c>
      <c r="AU50" s="220">
        <f>IF(AT$32=0,"N.D.",AT50/AT$32)</f>
        <v>0.023228017999694</v>
      </c>
      <c r="AX50" s="7" t="s">
        <v>44</v>
      </c>
      <c r="AY50" s="8">
        <f>BDER!$D459/1000+ajustes!S28</f>
        <v>649.266</v>
      </c>
      <c r="AZ50" s="220">
        <f>IF(AY$32=0,"N.D.",AY50/AY$32)</f>
        <v>0.10370380119491</v>
      </c>
      <c r="BA50" s="204">
        <f>BDER!$D437/1000+ajustes!T28</f>
        <v>41.559</v>
      </c>
      <c r="BB50" s="220">
        <f>IF(BA$32=0,"N.D.",BA50/BA$32)</f>
        <v>0.036260083398803</v>
      </c>
      <c r="BC50" s="204">
        <f>SUM(AY50,BA50)</f>
        <v>690.825</v>
      </c>
      <c r="BD50" s="220">
        <f>IF(BC$32=0,"N.D.",BC50/BC$32)</f>
        <v>0.093267640943961</v>
      </c>
      <c r="BE50" s="187"/>
      <c r="BG50" s="4" t="s">
        <v>119</v>
      </c>
      <c r="BH50" s="14">
        <f>BH46-BH48-BH49</f>
        <v>-0.01</v>
      </c>
      <c r="BI50" s="35" t="str">
        <f>IF(BH$32=0,"N.D.",BH50/BH$32)</f>
        <v>N.D.</v>
      </c>
      <c r="BJ50" s="208">
        <f>BJ46-BJ48-BJ49</f>
        <v>15.54709</v>
      </c>
      <c r="BK50" s="35">
        <f>IF(BJ$32=0,"N.D.",BJ50/BJ$32)</f>
        <v>0.050077113863946</v>
      </c>
      <c r="BL50" s="208">
        <f>BL46-BL48-BL49</f>
        <v>23.13052</v>
      </c>
      <c r="BM50" s="35">
        <f>IF(BL$32=0,"N.D.",BL50/BL$32)</f>
        <v>0.038211830291811</v>
      </c>
      <c r="BN50" s="208">
        <f>BN46-BN48-BN49</f>
        <v>33.29723</v>
      </c>
      <c r="BO50" s="35">
        <f>IF(BN$32=0,"N.D.",BN50/BN$32)</f>
        <v>0.12110116374443</v>
      </c>
      <c r="BP50" s="208">
        <f>BP46-BP48-BP49</f>
        <v>27.25808</v>
      </c>
      <c r="BQ50" s="35">
        <f>IF(BP$32=0,"N.D.",BP50/BP$32)</f>
        <v>0.070729169985844</v>
      </c>
      <c r="BR50" s="14">
        <f>BR46-BR48-BR49</f>
        <v>99.22292</v>
      </c>
      <c r="BS50" s="35">
        <f>IF(BR$32=0,"N.D.",BR50/BR$32)</f>
        <v>0.062953631345311</v>
      </c>
      <c r="BU50" s="4" t="s">
        <v>119</v>
      </c>
      <c r="BV50" s="208">
        <f>BV46-BV48-BV49</f>
        <v>7.54703</v>
      </c>
      <c r="BW50" s="35">
        <f>IF(BV$32=0,"N.D.",BV50/BV$32)</f>
        <v>0.17023546175311</v>
      </c>
      <c r="BX50" s="208">
        <f>BX46-BX48-BX49</f>
        <v>15.43337</v>
      </c>
      <c r="BY50" s="35">
        <f>IF(BX$32=0,"N.D.",BX50/BX$32)</f>
        <v>0.51695132976202</v>
      </c>
      <c r="BZ50" s="208">
        <f>BZ46-BZ48-BZ49</f>
        <v>14.30084</v>
      </c>
      <c r="CA50" s="35">
        <f>IF(BZ$32=0,"N.D.",BZ50/BZ$32)</f>
        <v>0.71560446510958</v>
      </c>
      <c r="CB50" s="208">
        <f>CB46-CB48-CB49</f>
        <v>-0.05824</v>
      </c>
      <c r="CC50" s="35">
        <f>IF(CB$32=0,"N.D.",CB50/CB$32)</f>
        <v>-0.015559711461395</v>
      </c>
      <c r="CD50" s="208">
        <f>CD46-CD48-CD49</f>
        <v>2.2444</v>
      </c>
      <c r="CE50" s="35">
        <f>IF(CD$32=0,"N.D.",CD50/CD$32)</f>
        <v>0.43303106309087</v>
      </c>
      <c r="CF50" s="14">
        <f>CF46-CF48-CF49</f>
        <v>39.4674</v>
      </c>
      <c r="CG50" s="35">
        <f>IF(CF$32=0,"N.D.",CF50/CF$32)</f>
        <v>0.3828153007398</v>
      </c>
    </row>
    <row r="51" spans="1:85">
      <c r="B51" s="7" t="s">
        <v>45</v>
      </c>
      <c r="C51" s="196">
        <f>BDER!$D174/1000+ajustes!B29</f>
        <v>0</v>
      </c>
      <c r="D51" s="219" t="str">
        <f>IF(C$32=0,"N.D.",C51/C$32)</f>
        <v>N.D.</v>
      </c>
      <c r="E51" s="34">
        <f>BDER!$D152/1000+ajustes!C29</f>
        <v>0</v>
      </c>
      <c r="F51" s="219" t="str">
        <f>IF(E$32=0,"N.D.",E51/E$32)</f>
        <v>N.D.</v>
      </c>
      <c r="G51" s="197">
        <f>BDER!$D218/1000+ajustes!D29</f>
        <v>0</v>
      </c>
      <c r="H51" s="219" t="str">
        <f>IF(G$32=0,"N.D.",G51/G$32)</f>
        <v>N.D.</v>
      </c>
      <c r="I51" s="34">
        <f>BDER!$D196/1000+ajustes!E29</f>
        <v>0</v>
      </c>
      <c r="J51" s="219" t="str">
        <f>IF(I$32=0,"N.D.",I51/I$32)</f>
        <v>N.D.</v>
      </c>
      <c r="K51" s="207">
        <f>SUM(C51,E51,G51,I51)</f>
        <v>0</v>
      </c>
      <c r="L51" s="219" t="str">
        <f>IF(K$32=0,"N.D.",K51/K$32)</f>
        <v>N.D.</v>
      </c>
      <c r="N51" s="7" t="s">
        <v>45</v>
      </c>
      <c r="O51" s="196">
        <f>BDER!$D20/1000+ajustes!F29</f>
        <v>0</v>
      </c>
      <c r="P51" s="219">
        <f>IF(O$32=0,"N.D.",O51/O$32)</f>
        <v>0</v>
      </c>
      <c r="Q51" s="34">
        <f>BDER!$D42/1000+ajustes!G29</f>
        <v>0</v>
      </c>
      <c r="R51" s="219">
        <f>IF(Q$32=0,"N.D.",Q51/Q$32)</f>
        <v>0</v>
      </c>
      <c r="S51" s="197">
        <f>BDER!$D64/1000+ajustes!H29</f>
        <v>0</v>
      </c>
      <c r="T51" s="219">
        <f>IF(S$32=0,"N.D.",S51/S$32)</f>
        <v>0</v>
      </c>
      <c r="U51" s="34">
        <f>BDER!$D86/1000+ajustes!I29</f>
        <v>0</v>
      </c>
      <c r="V51" s="219">
        <f>IF(U$32=0,"N.D.",U51/U$32)</f>
        <v>0</v>
      </c>
      <c r="W51" s="197">
        <f>BDER!$D108/1000+ajustes!J29</f>
        <v>0</v>
      </c>
      <c r="X51" s="219">
        <f>IF(W$32=0,"N.D.",W51/W$32)</f>
        <v>0</v>
      </c>
      <c r="Y51" s="34">
        <f>BDER!$D130/1000+ajustes!K29</f>
        <v>0</v>
      </c>
      <c r="Z51" s="219">
        <f>IF(Y$32=0,"N.D.",Y51/Y$32)</f>
        <v>0</v>
      </c>
      <c r="AA51" s="207">
        <f>SUM(O51,Q51,S51,U51,W51,Y51)</f>
        <v>0</v>
      </c>
      <c r="AB51" s="219">
        <f>IF(AA$32=0,"N.D.",AA51/AA$32)</f>
        <v>0</v>
      </c>
      <c r="AC51" s="276"/>
      <c r="AE51" s="7" t="s">
        <v>45</v>
      </c>
      <c r="AF51" s="11">
        <f>BDER!$D306/1000+ajustes!L29</f>
        <v>0</v>
      </c>
      <c r="AG51" s="219">
        <f>IF(AF$32=0,"N.D.",AF51/AF$32)</f>
        <v>0</v>
      </c>
      <c r="AH51" s="11">
        <f>BDER!$D328/1000+ajustes!M29</f>
        <v>0</v>
      </c>
      <c r="AI51" s="219">
        <f>IF(AH$32=0,"N.D.",AH51/AH$32)</f>
        <v>0</v>
      </c>
      <c r="AJ51" s="11">
        <f>BDER!$D372/1000+ajustes!N29</f>
        <v>0</v>
      </c>
      <c r="AK51" s="219">
        <f>IF(AJ$32=0,"N.D.",AJ51/AJ$32)</f>
        <v>0</v>
      </c>
      <c r="AL51" s="11">
        <f>BDER!$D350/2000+ajustes!O29</f>
        <v>0</v>
      </c>
      <c r="AM51" s="219">
        <f>IF(AL$32=0,"N.D.",AL51/AL$32)</f>
        <v>0</v>
      </c>
      <c r="AN51" s="11">
        <f>ajustes!P29</f>
        <v>0</v>
      </c>
      <c r="AO51" s="219" t="str">
        <f>IF(AN$32=0,"N.D.",AN51/AN$32)</f>
        <v>N.D.</v>
      </c>
      <c r="AP51" s="11">
        <f>BDER!$D416/1000+ajustes!Q29</f>
        <v>0</v>
      </c>
      <c r="AQ51" s="219">
        <f>IF(AP$32=0,"N.D.",AP51/AP$32)</f>
        <v>0</v>
      </c>
      <c r="AR51" s="11">
        <f>BDER!$D394/1000+ajustes!R29</f>
        <v>0</v>
      </c>
      <c r="AS51" s="219">
        <f>IF(AR$32=0,"N.D.",AR51/AR$32)</f>
        <v>0</v>
      </c>
      <c r="AT51" s="11">
        <f>SUM(AF51,AH51,AJ51,AL51,AP51,AR51,AN51)</f>
        <v>0</v>
      </c>
      <c r="AU51" s="219">
        <f>IF(AT$32=0,"N.D.",AT51/AT$32)</f>
        <v>0</v>
      </c>
      <c r="AX51" s="7" t="s">
        <v>45</v>
      </c>
      <c r="AY51" s="34">
        <f>BDER!$D460/1000+ajustes!S29</f>
        <v>0</v>
      </c>
      <c r="AZ51" s="219">
        <f>IF(AY$32=0,"N.D.",AY51/AY$32)</f>
        <v>0</v>
      </c>
      <c r="BA51" s="207">
        <f>BDER!$D438/1000+ajustes!T29</f>
        <v>0</v>
      </c>
      <c r="BB51" s="219">
        <f>IF(BA$32=0,"N.D.",BA51/BA$32)</f>
        <v>0</v>
      </c>
      <c r="BC51" s="206">
        <f>SUM(AY51,BA51)</f>
        <v>0</v>
      </c>
      <c r="BD51" s="219">
        <f>IF(BC$32=0,"N.D.",BC51/BC$32)</f>
        <v>0</v>
      </c>
      <c r="BE51" s="187"/>
      <c r="BG51" s="4" t="s">
        <v>120</v>
      </c>
      <c r="BH51" s="20">
        <f>BH40+BH38</f>
        <v>-0.01</v>
      </c>
      <c r="BI51" s="22" t="str">
        <f>IF(BH$32=0,"N.D.",BH51/BH$32)</f>
        <v>N.D.</v>
      </c>
      <c r="BJ51" s="14">
        <f>BJ40+BJ38</f>
        <v>15.54363</v>
      </c>
      <c r="BK51" s="22">
        <f>IF(BJ$32=0,"N.D.",BJ51/BJ$32)</f>
        <v>0.050065969217972</v>
      </c>
      <c r="BL51" s="14">
        <f>BL40+BL38</f>
        <v>25.04462</v>
      </c>
      <c r="BM51" s="22">
        <f>IF(BL$32=0,"N.D.",BL51/BL$32)</f>
        <v>0.04137394097335</v>
      </c>
      <c r="BN51" s="14">
        <f>BN40+BN38</f>
        <v>37.19534</v>
      </c>
      <c r="BO51" s="22">
        <f>IF(BN$32=0,"N.D.",BN51/BN$32)</f>
        <v>0.13527848892745</v>
      </c>
      <c r="BP51" s="14">
        <f>BP40+BP38</f>
        <v>29.92775</v>
      </c>
      <c r="BQ51" s="22">
        <f>IF(BP$32=0,"N.D.",BP51/BP$32)</f>
        <v>0.077656420299736</v>
      </c>
      <c r="BR51" s="20">
        <f>BR40+BR38</f>
        <v>107.70134</v>
      </c>
      <c r="BS51" s="22">
        <f>IF(BR$32=0,"N.D.",BR51/BR$32)</f>
        <v>0.068332905882592</v>
      </c>
      <c r="BU51" s="4" t="s">
        <v>120</v>
      </c>
      <c r="BV51" s="14">
        <f>BV40+BV38</f>
        <v>33.62259</v>
      </c>
      <c r="BW51" s="22">
        <f>IF(BV$32=0,"N.D.",BV51/BV$32)</f>
        <v>0.75841186983298</v>
      </c>
      <c r="BX51" s="14">
        <f>BX40+BX38</f>
        <v>20.48391</v>
      </c>
      <c r="BY51" s="22">
        <f>IF(BX$32=0,"N.D.",BX51/BX$32)</f>
        <v>0.68612263641872</v>
      </c>
      <c r="BZ51" s="14">
        <f>BZ40+BZ38</f>
        <v>18.45786</v>
      </c>
      <c r="CA51" s="22">
        <f>IF(BZ$32=0,"N.D.",BZ51/BZ$32)</f>
        <v>0.9236189645061</v>
      </c>
      <c r="CB51" s="14">
        <f>CB40+CB38</f>
        <v>3.7278</v>
      </c>
      <c r="CC51" s="22">
        <f>IF(CB$32=0,"N.D.",CB51/CB$32)</f>
        <v>0.99593908629442</v>
      </c>
      <c r="CD51" s="14">
        <f>CD40+CD38</f>
        <v>5.15961</v>
      </c>
      <c r="CE51" s="22">
        <f>IF(CD$32=0,"N.D.",CD51/CD$32)</f>
        <v>0.9954871695929</v>
      </c>
      <c r="CF51" s="20">
        <f>CF40+CF38</f>
        <v>81.45177</v>
      </c>
      <c r="CG51" s="22">
        <f>IF(CF$32=0,"N.D.",CF51/CF$32)</f>
        <v>0.79004403199449</v>
      </c>
    </row>
    <row r="52" spans="1:85">
      <c r="B52" s="4" t="s">
        <v>47</v>
      </c>
      <c r="C52" s="216">
        <f>C48-C50</f>
        <v>-53.63116</v>
      </c>
      <c r="D52" s="22" t="str">
        <f>IF(C$32=0,"N.D.",C52/C$32)</f>
        <v>N.D.</v>
      </c>
      <c r="E52" s="208">
        <f>E48-E50</f>
        <v>-20.7791</v>
      </c>
      <c r="F52" s="22" t="str">
        <f>IF(E$32=0,"N.D.",E52/E$32)</f>
        <v>N.D.</v>
      </c>
      <c r="G52" s="202">
        <f>G48-G50</f>
        <v>-1.253</v>
      </c>
      <c r="H52" s="22" t="str">
        <f>IF(G$32=0,"N.D.",G52/G$32)</f>
        <v>N.D.</v>
      </c>
      <c r="I52" s="208">
        <f>I48-I50</f>
        <v>-0.975</v>
      </c>
      <c r="J52" s="22" t="str">
        <f>IF(I$32=0,"N.D.",I52/I$32)</f>
        <v>N.D.</v>
      </c>
      <c r="K52" s="213">
        <f>K48-K50</f>
        <v>-76.63826</v>
      </c>
      <c r="L52" s="22" t="str">
        <f>IF(K$32=0,"N.D.",K52/K$32)</f>
        <v>N.D.</v>
      </c>
      <c r="N52" s="4" t="s">
        <v>47</v>
      </c>
      <c r="O52" s="216">
        <f>O48-O50</f>
        <v>2471.30888</v>
      </c>
      <c r="P52" s="22">
        <f>IF(O$32=0,"N.D.",O52/O$32)</f>
        <v>0.08371609860713</v>
      </c>
      <c r="Q52" s="208">
        <f>Q48-Q50</f>
        <v>1129.31734</v>
      </c>
      <c r="R52" s="22">
        <f>IF(Q$32=0,"N.D.",Q52/Q$32)</f>
        <v>0.18023898534067</v>
      </c>
      <c r="S52" s="202">
        <f>S48-S50</f>
        <v>285.64608</v>
      </c>
      <c r="T52" s="22">
        <f>IF(S$32=0,"N.D.",S52/S$32)</f>
        <v>0.010249220115949</v>
      </c>
      <c r="U52" s="208">
        <f>U48-U50</f>
        <v>171.07651</v>
      </c>
      <c r="V52" s="22">
        <f>IF(U$32=0,"N.D.",U52/U$32)</f>
        <v>0.049526306876897</v>
      </c>
      <c r="W52" s="202">
        <f>W48-W50</f>
        <v>-44.40129</v>
      </c>
      <c r="X52" s="22">
        <f>IF(W$32=0,"N.D.",W52/W$32)</f>
        <v>-0.13625477798481</v>
      </c>
      <c r="Y52" s="208">
        <f>Y48-Y50</f>
        <v>16.77329</v>
      </c>
      <c r="Z52" s="22">
        <f>IF(Y$32=0,"N.D.",Y52/Y$32)</f>
        <v>0.063520752859199</v>
      </c>
      <c r="AA52" s="213">
        <f>AA48-AA50</f>
        <v>4029.72081</v>
      </c>
      <c r="AB52" s="22">
        <f>IF(AA$32=0,"N.D.",AA52/AA$32)</f>
        <v>0.075614806519336</v>
      </c>
      <c r="AC52" s="277"/>
      <c r="AE52" s="4" t="s">
        <v>47</v>
      </c>
      <c r="AF52" s="14">
        <f>AF48-AF50</f>
        <v>1068.74646</v>
      </c>
      <c r="AG52" s="22">
        <f>IF(AF$32=0,"N.D.",AF52/AF$32)</f>
        <v>0.020329368149367</v>
      </c>
      <c r="AH52" s="14">
        <f>AH48-AH50</f>
        <v>2539.05729</v>
      </c>
      <c r="AI52" s="22">
        <f>IF(AH$32=0,"N.D.",AH52/AH$32)</f>
        <v>0.073430695389436</v>
      </c>
      <c r="AJ52" s="14">
        <f>AJ48-AJ50</f>
        <v>-1852.38727</v>
      </c>
      <c r="AK52" s="22">
        <f>IF(AJ$32=0,"N.D.",AJ52/AJ$32)</f>
        <v>-0.26254394783661</v>
      </c>
      <c r="AL52" s="14">
        <f>AL48-AL50</f>
        <v>1193.277165</v>
      </c>
      <c r="AM52" s="22">
        <f>IF(AL$32=0,"N.D.",AL52/AL$32)</f>
        <v>0.12755516938132</v>
      </c>
      <c r="AN52" s="14">
        <f>AN48-AN50</f>
        <v>0</v>
      </c>
      <c r="AO52" s="22" t="str">
        <f>IF(AN$32=0,"N.D.",AN52/AN$32)</f>
        <v>N.D.</v>
      </c>
      <c r="AP52" s="14">
        <f>AP48-AP50</f>
        <v>358.39667</v>
      </c>
      <c r="AQ52" s="22">
        <f>IF(AP$32=0,"N.D.",AP52/AP$32)</f>
        <v>0.07038354464883</v>
      </c>
      <c r="AR52" s="14">
        <f>AR48-AR50</f>
        <v>2599.63463</v>
      </c>
      <c r="AS52" s="22">
        <f>IF(AR$32=0,"N.D.",AR52/AR$32)</f>
        <v>0.040706073408382</v>
      </c>
      <c r="AT52" s="14">
        <f>AT48-AT50</f>
        <v>5906.724945</v>
      </c>
      <c r="AU52" s="22">
        <f>IF(AT$32=0,"N.D.",AT52/AT$32)</f>
        <v>0.03423885009464</v>
      </c>
      <c r="AX52" s="4" t="s">
        <v>47</v>
      </c>
      <c r="AY52" s="208">
        <f>AY48-AY50</f>
        <v>2437.63938</v>
      </c>
      <c r="AZ52" s="22">
        <f>IF(AY$32=0,"N.D.",AY52/AY$32)</f>
        <v>0.38935115907565</v>
      </c>
      <c r="BA52" s="208">
        <f>BA48-BA50</f>
        <v>100.06243</v>
      </c>
      <c r="BB52" s="22">
        <f>IF(BA$32=0,"N.D.",BA52/BA$32)</f>
        <v>0.087304123219684</v>
      </c>
      <c r="BC52" s="14">
        <f>BC48-BC50</f>
        <v>2537.70181</v>
      </c>
      <c r="BD52" s="22">
        <f>IF(BC$32=0,"N.D.",BC52/BC$32)</f>
        <v>0.34261276189762</v>
      </c>
      <c r="BE52" s="221"/>
    </row>
    <row r="53" spans="1:85">
      <c r="B53" s="4" t="s">
        <v>48</v>
      </c>
      <c r="C53" s="215">
        <f>C40+C38</f>
        <v>-53.63116</v>
      </c>
      <c r="D53" s="22" t="str">
        <f>IF(C$32=0,"N.D.",C53/C$32)</f>
        <v>N.D.</v>
      </c>
      <c r="E53" s="14">
        <f>E40+E38</f>
        <v>-20.7791</v>
      </c>
      <c r="F53" s="22" t="str">
        <f>IF(E$32=0,"N.D.",E53/E$32)</f>
        <v>N.D.</v>
      </c>
      <c r="G53" s="31">
        <f>G40+G38</f>
        <v>-1.253</v>
      </c>
      <c r="H53" s="22" t="str">
        <f>IF(G$32=0,"N.D.",G53/G$32)</f>
        <v>N.D.</v>
      </c>
      <c r="I53" s="14">
        <f>I40+I38</f>
        <v>-0.975</v>
      </c>
      <c r="J53" s="22" t="str">
        <f>IF(I$32=0,"N.D.",I53/I$32)</f>
        <v>N.D.</v>
      </c>
      <c r="K53" s="214">
        <f>K40+K38</f>
        <v>-76.63826</v>
      </c>
      <c r="L53" s="22" t="str">
        <f>IF(K$32=0,"N.D.",K53/K$32)</f>
        <v>N.D.</v>
      </c>
      <c r="N53" s="4" t="s">
        <v>48</v>
      </c>
      <c r="O53" s="215">
        <f>O40+O38</f>
        <v>4335.55847</v>
      </c>
      <c r="P53" s="22">
        <f>IF(O$32=0,"N.D.",O53/O$32)</f>
        <v>0.14686793841468</v>
      </c>
      <c r="Q53" s="14">
        <f>Q40+Q38</f>
        <v>1463.40017</v>
      </c>
      <c r="R53" s="22">
        <f>IF(Q$32=0,"N.D.",Q53/Q$32)</f>
        <v>0.23355858663089</v>
      </c>
      <c r="S53" s="31">
        <f>S40+S38</f>
        <v>1122.58263</v>
      </c>
      <c r="T53" s="22">
        <f>IF(S$32=0,"N.D.",S53/S$32)</f>
        <v>0.040279203107604</v>
      </c>
      <c r="U53" s="14">
        <f>U40+U38</f>
        <v>292.81768</v>
      </c>
      <c r="V53" s="22">
        <f>IF(U$32=0,"N.D.",U53/U$32)</f>
        <v>0.084770131671853</v>
      </c>
      <c r="W53" s="31">
        <f>W40+W38</f>
        <v>-39.65434</v>
      </c>
      <c r="X53" s="22">
        <f>IF(W$32=0,"N.D.",W53/W$32)</f>
        <v>-0.12168775485654</v>
      </c>
      <c r="Y53" s="14">
        <f>Y40+Y38</f>
        <v>95.82545</v>
      </c>
      <c r="Z53" s="22">
        <f>IF(Y$32=0,"N.D.",Y53/Y$32)</f>
        <v>0.36289271377717</v>
      </c>
      <c r="AA53" s="214">
        <f>AA40+AA38</f>
        <v>7270.53006</v>
      </c>
      <c r="AB53" s="22">
        <f>IF(AA$32=0,"N.D.",AA53/AA$32)</f>
        <v>0.13642625623484</v>
      </c>
      <c r="AC53" s="277"/>
      <c r="AE53" s="4" t="s">
        <v>48</v>
      </c>
      <c r="AF53" s="20">
        <f>AF40+AF38</f>
        <v>2177.02996</v>
      </c>
      <c r="AG53" s="22">
        <f>IF(AF$32=0,"N.D.",AF53/AF$32)</f>
        <v>0.041410797776155</v>
      </c>
      <c r="AH53" s="20">
        <f>AH40+AH38</f>
        <v>3438.27418</v>
      </c>
      <c r="AI53" s="22">
        <f>IF(AH$32=0,"N.D.",AH53/AH$32)</f>
        <v>0.099436458157643</v>
      </c>
      <c r="AJ53" s="20">
        <f>AJ40+AJ38</f>
        <v>-1751.36186</v>
      </c>
      <c r="AK53" s="22">
        <f>IF(AJ$32=0,"N.D.",AJ53/AJ$32)</f>
        <v>-0.2482253383305</v>
      </c>
      <c r="AL53" s="20">
        <f>AL40+AL38</f>
        <v>1776.45243</v>
      </c>
      <c r="AM53" s="22">
        <f>IF(AL$32=0,"N.D.",AL53/AL$32)</f>
        <v>0.18989359492731</v>
      </c>
      <c r="AN53" s="20">
        <f>AN40+AN38</f>
        <v>0</v>
      </c>
      <c r="AO53" s="22" t="str">
        <f>IF(AN$32=0,"N.D.",AN53/AN$32)</f>
        <v>N.D.</v>
      </c>
      <c r="AP53" s="20">
        <f>AP40+AP38</f>
        <v>735.04751</v>
      </c>
      <c r="AQ53" s="22">
        <f>IF(AP$32=0,"N.D.",AP53/AP$32)</f>
        <v>0.14435192503071</v>
      </c>
      <c r="AR53" s="20">
        <f>AR40+AR38</f>
        <v>5008.87095</v>
      </c>
      <c r="AS53" s="22">
        <f>IF(AR$32=0,"N.D.",AR53/AR$32)</f>
        <v>0.078430817250581</v>
      </c>
      <c r="AT53" s="20">
        <f>AT40+AT38</f>
        <v>11384.31317</v>
      </c>
      <c r="AU53" s="22">
        <f>IF(AT$32=0,"N.D.",AT53/AT$32)</f>
        <v>0.065990171488859</v>
      </c>
      <c r="AX53" s="4" t="s">
        <v>48</v>
      </c>
      <c r="AY53" s="14">
        <f>AY40+AY38</f>
        <v>2741.12103</v>
      </c>
      <c r="AZ53" s="22">
        <f>IF(AY$32=0,"N.D.",AY53/AY$32)</f>
        <v>0.43782466715694</v>
      </c>
      <c r="BA53" s="14">
        <f>BA40+BA38</f>
        <v>159.8047</v>
      </c>
      <c r="BB53" s="22">
        <f>IF(BA$32=0,"N.D.",BA53/BA$32)</f>
        <v>0.13942904664503</v>
      </c>
      <c r="BC53" s="20">
        <f>BC40+BC38</f>
        <v>2900.92573</v>
      </c>
      <c r="BD53" s="22">
        <f>IF(BC$32=0,"N.D.",BC53/BC$32)</f>
        <v>0.39165128562333</v>
      </c>
      <c r="BE53" s="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variacion">
    <outlinePr summaryBelow="1" summaryRight="1"/>
  </sheetPr>
  <dimension ref="A1:BZ52"/>
  <sheetViews>
    <sheetView tabSelected="1" workbookViewId="0" zoomScale="72" zoomScaleNormal="72" showGridLines="false" showRowColHeaders="1">
      <selection activeCell="BS28" sqref="BS28"/>
    </sheetView>
  </sheetViews>
  <sheetFormatPr defaultRowHeight="14.4" outlineLevelRow="0" outlineLevelCol="0"/>
  <cols>
    <col min="2" max="2" width="12.81640625" customWidth="true" style="0"/>
    <col min="3" max="3" width="0" hidden="true" customWidth="true" style="0"/>
    <col min="4" max="4" width="9.54296875" hidden="true" customWidth="true" style="305"/>
    <col min="5" max="5" width="2.1796875" hidden="true" customWidth="true" style="315"/>
    <col min="8" max="8" width="2" customWidth="true" style="307"/>
    <col min="9" max="9" width="10.81640625" customWidth="true" style="307"/>
    <col min="10" max="10" width="10.81640625" customWidth="true" style="307"/>
    <col min="11" max="11" width="1.81640625" customWidth="true" style="307"/>
    <col min="12" max="12" width="10.81640625" customWidth="true" style="307"/>
    <col min="14" max="14" width="1.453125" customWidth="true" style="307"/>
    <col min="17" max="17" width="2.1796875" customWidth="true" style="307"/>
    <col min="20" max="20" width="1.81640625" customWidth="true" style="307"/>
    <col min="25" max="25" width="16.1796875" customWidth="true" style="0"/>
    <col min="26" max="26" width="1.54296875" customWidth="true" style="0"/>
    <col min="29" max="29" width="2.7265625" customWidth="true" style="0"/>
    <col min="32" max="32" width="2.81640625" customWidth="true" style="0"/>
    <col min="35" max="35" width="2.7265625" customWidth="true" style="0"/>
    <col min="38" max="38" width="2.453125" customWidth="true" style="0"/>
    <col min="45" max="45" width="11.81640625" customWidth="true" style="0"/>
    <col min="48" max="48" width="10.54296875" customWidth="true" style="0"/>
    <col min="65" max="65" width="0" hidden="true" customWidth="true" style="0"/>
    <col min="66" max="66" width="0" hidden="true" customWidth="true" style="0"/>
    <col min="69" max="69" width="13.08984375" customWidth="true" style="0"/>
  </cols>
  <sheetData>
    <row r="1" spans="1:78">
      <c r="A1" t="s">
        <v>123</v>
      </c>
      <c r="C1" t="s">
        <v>124</v>
      </c>
      <c r="X1" s="320" t="s">
        <v>125</v>
      </c>
      <c r="AB1" s="321"/>
      <c r="AD1" t="s">
        <v>124</v>
      </c>
      <c r="AE1" s="321"/>
      <c r="AH1" s="321"/>
      <c r="AK1" s="322"/>
      <c r="AM1" s="323"/>
      <c r="AN1" s="322"/>
      <c r="AQ1" s="26" t="s">
        <v>126</v>
      </c>
      <c r="AR1" s="25"/>
      <c r="AS1" s="25"/>
      <c r="AT1" s="25"/>
      <c r="AU1" s="25"/>
      <c r="AV1" s="25"/>
      <c r="AW1" s="25"/>
      <c r="AX1" s="25"/>
      <c r="AZ1" t="s">
        <v>127</v>
      </c>
      <c r="BL1" t="s">
        <v>128</v>
      </c>
    </row>
    <row r="2" spans="1:78">
      <c r="C2" s="373" t="s">
        <v>14</v>
      </c>
      <c r="D2" s="373"/>
      <c r="E2" s="2"/>
      <c r="F2" s="373" t="s">
        <v>15</v>
      </c>
      <c r="G2" s="373"/>
      <c r="H2" s="2"/>
      <c r="I2" s="373" t="s">
        <v>16</v>
      </c>
      <c r="J2" s="373"/>
      <c r="K2" s="2"/>
      <c r="L2" s="373" t="s">
        <v>17</v>
      </c>
      <c r="M2" s="373"/>
      <c r="N2" s="2"/>
      <c r="O2" s="373" t="s">
        <v>18</v>
      </c>
      <c r="P2" s="373"/>
      <c r="Q2" s="2"/>
      <c r="R2" s="373" t="s">
        <v>60</v>
      </c>
      <c r="S2" s="373"/>
      <c r="T2" s="2"/>
      <c r="U2" s="373" t="s">
        <v>129</v>
      </c>
      <c r="V2" s="373"/>
      <c r="Y2" s="7"/>
      <c r="Z2" s="7"/>
      <c r="AA2" s="319" t="s">
        <v>21</v>
      </c>
      <c r="AB2" s="324" t="s">
        <v>130</v>
      </c>
      <c r="AC2" s="318"/>
      <c r="AD2" s="319" t="s">
        <v>131</v>
      </c>
      <c r="AE2" s="325" t="s">
        <v>130</v>
      </c>
      <c r="AF2" s="318"/>
      <c r="AG2" s="319" t="s">
        <v>132</v>
      </c>
      <c r="AH2" s="325" t="s">
        <v>130</v>
      </c>
      <c r="AI2" s="318"/>
      <c r="AJ2" s="319" t="s">
        <v>129</v>
      </c>
      <c r="AK2" s="326" t="s">
        <v>130</v>
      </c>
      <c r="AL2" s="318"/>
      <c r="AM2" s="319" t="s">
        <v>129</v>
      </c>
      <c r="AN2" s="326" t="s">
        <v>130</v>
      </c>
      <c r="AQ2" s="25"/>
      <c r="AR2" s="2" t="s">
        <v>14</v>
      </c>
      <c r="AS2" s="2" t="s">
        <v>15</v>
      </c>
      <c r="AT2" s="2" t="s">
        <v>16</v>
      </c>
      <c r="AU2" s="2" t="s">
        <v>17</v>
      </c>
      <c r="AV2" s="339" t="s">
        <v>18</v>
      </c>
      <c r="AW2" s="2" t="s">
        <v>19</v>
      </c>
      <c r="AX2" s="2" t="s">
        <v>20</v>
      </c>
      <c r="AZ2" s="341"/>
      <c r="BA2" s="342" t="s">
        <v>133</v>
      </c>
      <c r="BB2" s="343"/>
      <c r="BC2" s="342" t="s">
        <v>22</v>
      </c>
      <c r="BD2" s="342"/>
      <c r="BE2" s="342" t="s">
        <v>23</v>
      </c>
      <c r="BF2" s="342"/>
      <c r="BG2" s="344" t="s">
        <v>24</v>
      </c>
      <c r="BH2" s="345"/>
      <c r="BI2" s="344" t="s">
        <v>25</v>
      </c>
      <c r="BJ2" s="346"/>
      <c r="BL2" s="347"/>
      <c r="BM2" s="361" t="s">
        <v>14</v>
      </c>
      <c r="BN2" s="362"/>
      <c r="BO2" s="361" t="s">
        <v>15</v>
      </c>
      <c r="BP2" s="362"/>
      <c r="BQ2" s="363" t="s">
        <v>16</v>
      </c>
      <c r="BR2" s="364"/>
      <c r="BS2" s="363" t="s">
        <v>17</v>
      </c>
      <c r="BT2" s="364"/>
      <c r="BU2" s="361" t="s">
        <v>18</v>
      </c>
      <c r="BV2" s="362"/>
      <c r="BW2" s="361" t="s">
        <v>19</v>
      </c>
      <c r="BX2" s="362"/>
      <c r="BY2" s="363" t="s">
        <v>20</v>
      </c>
      <c r="BZ2" s="365"/>
    </row>
    <row r="3" spans="1:78">
      <c r="B3" s="26"/>
      <c r="C3" s="2" t="s">
        <v>129</v>
      </c>
      <c r="D3" s="308" t="s">
        <v>130</v>
      </c>
      <c r="E3" s="308"/>
      <c r="F3" s="2" t="s">
        <v>129</v>
      </c>
      <c r="G3" s="308" t="s">
        <v>130</v>
      </c>
      <c r="H3" s="308"/>
      <c r="I3" s="2" t="s">
        <v>129</v>
      </c>
      <c r="J3" s="308" t="s">
        <v>130</v>
      </c>
      <c r="K3" s="308"/>
      <c r="L3" s="2" t="s">
        <v>129</v>
      </c>
      <c r="M3" s="308" t="s">
        <v>130</v>
      </c>
      <c r="N3" s="308"/>
      <c r="O3" s="2" t="s">
        <v>129</v>
      </c>
      <c r="P3" s="309" t="s">
        <v>130</v>
      </c>
      <c r="Q3" s="309"/>
      <c r="R3" s="2" t="s">
        <v>129</v>
      </c>
      <c r="S3" s="308" t="s">
        <v>130</v>
      </c>
      <c r="T3" s="308"/>
      <c r="U3" s="2" t="s">
        <v>134</v>
      </c>
      <c r="V3" s="308" t="s">
        <v>130</v>
      </c>
      <c r="Y3" s="25"/>
      <c r="Z3" s="25"/>
      <c r="AA3" s="2"/>
      <c r="AB3" s="309"/>
      <c r="AC3" s="25"/>
      <c r="AD3" s="2"/>
      <c r="AE3" s="309"/>
      <c r="AF3" s="25"/>
      <c r="AG3" s="2"/>
      <c r="AH3" s="309"/>
      <c r="AI3" s="25"/>
      <c r="AJ3" s="2" t="s">
        <v>131</v>
      </c>
      <c r="AK3" s="327"/>
      <c r="AL3" s="25"/>
      <c r="AM3" s="2" t="s">
        <v>132</v>
      </c>
      <c r="AN3" s="327"/>
      <c r="AQ3" s="7" t="s">
        <v>26</v>
      </c>
      <c r="AR3" s="8"/>
      <c r="AS3" s="8">
        <f>(BDER_sig!D4+BDER_sig!D26+BDER_sig!D48+BDER_sig!D70+BDER_sig!D92+BDER_sig!D114)/1000</f>
        <v>0</v>
      </c>
      <c r="AT3" s="8">
        <f>(BDER_sig!D466+BDER_sig!D489+BDER_sig!D556+BDER_sig!D601)/1000</f>
        <v>1551.023</v>
      </c>
      <c r="AU3" s="8">
        <f>(BDER_sig!D512+BDER_sig!D534+BDER_sig!D579+BDER_sig!D624+BDER_sig!D646)/1000</f>
        <v>103.315</v>
      </c>
      <c r="AV3" s="8">
        <f>(BDER_sig!D290+BDER_sig!D312+BDER_sig!D334+BDER_sig!D356)/1000</f>
        <v>68370.688</v>
      </c>
      <c r="AW3" s="8">
        <f>(BDER_sig!D422+BDER_sig!D444)/1000</f>
        <v>15093.767</v>
      </c>
      <c r="AX3" s="8">
        <f>SUM(AR3:AW3)</f>
        <v>85118.793</v>
      </c>
      <c r="AZ3" s="347" t="s">
        <v>26</v>
      </c>
      <c r="BA3" s="348">
        <f>BY28</f>
        <v>0</v>
      </c>
      <c r="BB3" s="349" t="str">
        <f>IF(BA$3=0,"N.D.",BA3/BA$3)</f>
        <v>N.D.</v>
      </c>
      <c r="BC3" s="348">
        <f>AX3</f>
        <v>85118.793</v>
      </c>
      <c r="BD3" s="349">
        <f>IF(BC$3=0,"N.D.",BC3/BC$3)</f>
        <v>1</v>
      </c>
      <c r="BE3" s="348">
        <f>AX28</f>
        <v>151950.71998</v>
      </c>
      <c r="BF3" s="349">
        <f>IF(BE$3=0,"N.D.",BE3/BE$3)</f>
        <v>1</v>
      </c>
      <c r="BG3" s="348">
        <f>+BA3-BC3</f>
        <v>-85118.793</v>
      </c>
      <c r="BH3" s="350">
        <f>IF(BC3=0,"N.D.",BA3/BC3-1)</f>
        <v>-1</v>
      </c>
      <c r="BI3" s="348">
        <f>+BA3-BE3</f>
        <v>-151950.71998</v>
      </c>
      <c r="BJ3" s="350">
        <f>IF(BE3=0, "N.D.",BA3/BE3-1)</f>
        <v>-1</v>
      </c>
      <c r="BL3" s="347" t="s">
        <v>26</v>
      </c>
      <c r="BM3" s="351"/>
      <c r="BN3" s="349" t="str">
        <f>IF(BM$3=0,"N.D.",BM3/BM$3)</f>
        <v>0</v>
      </c>
      <c r="BO3" s="351">
        <f>proyeccion!B3</f>
        <v>0</v>
      </c>
      <c r="BP3" s="349" t="str">
        <f>IF(BO$3=0,"N.D.",BO3/BO$3)</f>
        <v>N.D.</v>
      </c>
      <c r="BQ3" s="351">
        <f>proyeccion!G3*TC_PROY</f>
        <v>0</v>
      </c>
      <c r="BR3" s="349" t="str">
        <f>IF(BQ$3=0,"N.D.",BQ3/BQ$3)</f>
        <v>N.D.</v>
      </c>
      <c r="BS3" s="351">
        <f>proyeccion!H3*TC_PROY</f>
        <v>0</v>
      </c>
      <c r="BT3" s="349" t="str">
        <f>IF(BS$3=0,"N.D.",BS3/BS$3)</f>
        <v>N.D.</v>
      </c>
      <c r="BU3" s="351">
        <f>proyeccion!E3</f>
        <v>0</v>
      </c>
      <c r="BV3" s="349" t="str">
        <f>IF(BU$3=0,"N.D.",BU3/BU$3)</f>
        <v>N.D.</v>
      </c>
      <c r="BW3" s="351">
        <f>proyeccion!F3</f>
        <v>0</v>
      </c>
      <c r="BX3" s="349" t="str">
        <f>IF(BW$3=0,"N.D.",BW3/BW$3)</f>
        <v>N.D.</v>
      </c>
      <c r="BY3" s="351">
        <f>BM3+BO3+BQ3+BS3+BU3+BW3</f>
        <v>0</v>
      </c>
      <c r="BZ3" s="349" t="str">
        <f>IF(BY$3=0,"N.D.",BY3/BY$3)</f>
        <v>N.D.</v>
      </c>
    </row>
    <row r="4" spans="1:78">
      <c r="B4" s="7" t="s">
        <v>26</v>
      </c>
      <c r="C4" s="8"/>
      <c r="D4" s="310"/>
      <c r="E4" s="42"/>
      <c r="F4" s="8">
        <f>TablasER!E4-TablasER!U4</f>
        <v>53292.74775</v>
      </c>
      <c r="G4" s="310">
        <f>IFERROR(F4/TablasER!U4,0)</f>
        <v>0</v>
      </c>
      <c r="H4" s="42"/>
      <c r="I4" s="204">
        <f>TablasER!G4-TablasER!W4</f>
        <v>3550.787843544</v>
      </c>
      <c r="J4" s="310">
        <f>IFERROR(I4/TablasER!W4,0)</f>
        <v>0.12535407597384</v>
      </c>
      <c r="K4" s="42"/>
      <c r="L4" s="204">
        <f>TablasER!I4-TablasER!Y4</f>
        <v>-15.719523552</v>
      </c>
      <c r="M4" s="310">
        <f>IFERROR(L4/TablasER!Y4,0)</f>
        <v>-0.0074824548736463</v>
      </c>
      <c r="N4" s="42"/>
      <c r="O4" s="204">
        <f>TablasER!K4-TablasER!AA4</f>
        <v>32400.323915</v>
      </c>
      <c r="P4" s="310">
        <f>IFERROR(O4/TablasER!AA4,0)</f>
        <v>0.23124100320908</v>
      </c>
      <c r="Q4" s="42"/>
      <c r="R4" s="204">
        <f>TablasER!M4-TablasER!AC4</f>
        <v>-3865.75224</v>
      </c>
      <c r="S4" s="310">
        <f>IFERROR(R4/TablasER!AC4,0)</f>
        <v>-0.34293161987825</v>
      </c>
      <c r="T4" s="42"/>
      <c r="U4" s="204">
        <f>TablasER!O4-TablasER!AE4</f>
        <v>85362.387744992</v>
      </c>
      <c r="V4" s="29">
        <f>IFERROR(U4/TablasER!AE4,0)</f>
        <v>0.46950253876607</v>
      </c>
      <c r="Y4" s="328" t="s">
        <v>26</v>
      </c>
      <c r="AA4" s="241">
        <f>TablasER!AY4</f>
        <v>267176.92695779</v>
      </c>
      <c r="AB4" s="329">
        <f>IF($AA$4=0,"N.D.",AA4/$AA$4)</f>
        <v>1</v>
      </c>
      <c r="AD4" s="241">
        <f>BY3</f>
        <v>0</v>
      </c>
      <c r="AE4" s="329" t="str">
        <f>IF($AD$4=0,"N.D.",AD4/$AD$4)</f>
        <v>N.D.</v>
      </c>
      <c r="AG4" s="241">
        <f>TablasER!BA4</f>
        <v>181814.5392128</v>
      </c>
      <c r="AH4" s="329">
        <f>IF($AG$4=0,"N.D.",AG4/$AG$4)</f>
        <v>1</v>
      </c>
      <c r="AJ4" s="241">
        <f>AA4-AD4</f>
        <v>267176.92695779</v>
      </c>
      <c r="AK4" s="329">
        <f>IFERROR(IF(0&gt;AJ4,(IF(0&gt;AJ4,AJ4/-1,AJ4)/AD4)/-1,(IF(0&gt;AJ4,AJ4/-1,AJ4)/AD4)),0)</f>
        <v>0</v>
      </c>
      <c r="AM4" s="241">
        <f>AA4-AG4</f>
        <v>85362.387744992</v>
      </c>
      <c r="AN4" s="329">
        <f>IFERROR(IF(0&gt;AM4,(IF(0&gt;AM4,AM4/-1,AM4)/AG4)/-1,(IF(0&gt;AM4,AM4/-1,AM4)/AG4)),0)</f>
        <v>0.46950253876607</v>
      </c>
      <c r="AQ4" s="7" t="s">
        <v>27</v>
      </c>
      <c r="AR4" s="8"/>
      <c r="AS4" s="8">
        <f>(BDER_sig!D5+BDER_sig!D27+BDER_sig!D49+BDER_sig!D71+BDER_sig!D93+BDER_sig!D115)/1000</f>
        <v>0</v>
      </c>
      <c r="AT4" s="8">
        <f>(BDER_sig!D467+BDER_sig!D490+BDER_sig!D557+BDER_sig!D602)/1000</f>
        <v>484.986</v>
      </c>
      <c r="AU4" s="8">
        <f>(BDER_sig!D513+BDER_sig!D535+BDER_sig!D580+BDER_sig!D625+BDER_sig!D647)/1000</f>
        <v>0</v>
      </c>
      <c r="AV4" s="8">
        <f>(BDER_sig!D291+BDER_sig!D313+BDER_sig!D335+BDER_sig!D357)/1000</f>
        <v>36110.963</v>
      </c>
      <c r="AW4" s="8">
        <f>(BDER_sig!D423+BDER_sig!D445)/1000</f>
        <v>9472.833</v>
      </c>
      <c r="AX4" s="8">
        <f>SUM(AR4:AW4)</f>
        <v>46068.782</v>
      </c>
      <c r="AZ4" s="347" t="s">
        <v>27</v>
      </c>
      <c r="BA4" s="351">
        <f>BY29</f>
        <v>0</v>
      </c>
      <c r="BB4" s="352" t="str">
        <f>IF(BA$3=0,"N.D.",BA4/BA$3)</f>
        <v>N.D.</v>
      </c>
      <c r="BC4" s="351">
        <f>AX4</f>
        <v>46068.782</v>
      </c>
      <c r="BD4" s="352">
        <f>IF(BC$3=0,"N.D.",BC4/BC$3)</f>
        <v>0.54122926766595</v>
      </c>
      <c r="BE4" s="351">
        <f>AX29</f>
        <v>89873.71587</v>
      </c>
      <c r="BF4" s="352">
        <f>IF(BE$3=0,"N.D.",BE4/BE$3)</f>
        <v>0.59146620616098</v>
      </c>
      <c r="BG4" s="351">
        <f>+BA4-BC4</f>
        <v>-46068.782</v>
      </c>
      <c r="BH4" s="353">
        <f>IF(BC4=0,"N.D.",BA4/BC4-1)</f>
        <v>-1</v>
      </c>
      <c r="BI4" s="351">
        <f>+BA4-BE4</f>
        <v>-89873.71587</v>
      </c>
      <c r="BJ4" s="353">
        <f>IF(BE4=0, "N.D.",BA4/BE4-1)</f>
        <v>-1</v>
      </c>
      <c r="BL4" s="347" t="s">
        <v>27</v>
      </c>
      <c r="BM4" s="351"/>
      <c r="BN4" s="352" t="str">
        <f>IF(BM$3=0,"N.D.",BM4/BM$3)</f>
        <v>0</v>
      </c>
      <c r="BO4" s="351">
        <f>proyeccion!B4</f>
        <v>0</v>
      </c>
      <c r="BP4" s="352" t="str">
        <f>IF(BO$3=0,"N.D.",BO4/BO$3)</f>
        <v>N.D.</v>
      </c>
      <c r="BQ4" s="351">
        <f>proyeccion!G4*TC_PROY</f>
        <v>0</v>
      </c>
      <c r="BR4" s="352" t="str">
        <f>IF(BQ$3=0,"N.D.",BQ4/BQ$3)</f>
        <v>N.D.</v>
      </c>
      <c r="BS4" s="351">
        <f>proyeccion!H4*TC_PROY</f>
        <v>0</v>
      </c>
      <c r="BT4" s="352" t="str">
        <f>IF(BS$3=0,"N.D.",BS4/BS$3)</f>
        <v>N.D.</v>
      </c>
      <c r="BU4" s="351">
        <f>proyeccion!E4</f>
        <v>0</v>
      </c>
      <c r="BV4" s="352" t="str">
        <f>IF(BU$3=0,"N.D.",BU4/BU$3)</f>
        <v>N.D.</v>
      </c>
      <c r="BW4" s="351">
        <f>proyeccion!F4</f>
        <v>0</v>
      </c>
      <c r="BX4" s="352" t="str">
        <f>IF(BW$3=0,"N.D.",BW4/BW$3)</f>
        <v>N.D.</v>
      </c>
      <c r="BY4" s="351">
        <f>BM4+BO4+BQ4+BS4+BU4+BW4</f>
        <v>0</v>
      </c>
      <c r="BZ4" s="352" t="str">
        <f>IF(BY$3=0,"N.D.",BY4/BY$3)</f>
        <v>N.D.</v>
      </c>
    </row>
    <row r="5" spans="1:78">
      <c r="B5" s="7" t="s">
        <v>27</v>
      </c>
      <c r="C5" s="11"/>
      <c r="D5" s="44"/>
      <c r="E5" s="42"/>
      <c r="F5" s="11">
        <f>TablasER!E5-TablasER!U5</f>
        <v>27361.20147</v>
      </c>
      <c r="G5" s="44">
        <f>IFERROR(F5/TablasER!U5,0)</f>
        <v>0</v>
      </c>
      <c r="H5" s="42"/>
      <c r="I5" s="206">
        <f>TablasER!G5-TablasER!W5</f>
        <v>709.22407284</v>
      </c>
      <c r="J5" s="44">
        <f>IFERROR(I5/TablasER!W5,0)</f>
        <v>0.080058102369755</v>
      </c>
      <c r="K5" s="42"/>
      <c r="L5" s="206">
        <f>TablasER!I5-TablasER!Y5</f>
        <v>0</v>
      </c>
      <c r="M5" s="44">
        <f>IFERROR(L5/TablasER!Y5,0)</f>
        <v>0</v>
      </c>
      <c r="N5" s="42"/>
      <c r="O5" s="206">
        <f>TablasER!K5-TablasER!AA5</f>
        <v>38743.32522</v>
      </c>
      <c r="P5" s="44">
        <f>IFERROR(O5/TablasER!AA5,0)</f>
        <v>0.4156660555162</v>
      </c>
      <c r="Q5" s="42"/>
      <c r="R5" s="206">
        <f>TablasER!M5-TablasER!AC5</f>
        <v>-3661.70107</v>
      </c>
      <c r="S5" s="44">
        <f>IFERROR(R5/TablasER!AC5,0)</f>
        <v>-0.48577635906765</v>
      </c>
      <c r="T5" s="42"/>
      <c r="U5" s="206">
        <f>TablasER!O5-TablasER!AE5</f>
        <v>63152.04969284</v>
      </c>
      <c r="V5" s="42">
        <f>IFERROR(U5/TablasER!AE5,0)</f>
        <v>0.57618109232619</v>
      </c>
      <c r="Y5" s="328" t="s">
        <v>27</v>
      </c>
      <c r="AA5" s="242">
        <f>TablasER!AY5</f>
        <v>172756.56558884</v>
      </c>
      <c r="AB5" s="330">
        <f>IF($AA$4=0,"N.D.",AA5/$AA$4)</f>
        <v>0.64659986757064</v>
      </c>
      <c r="AD5" s="242">
        <f>BY4</f>
        <v>0</v>
      </c>
      <c r="AE5" s="330" t="str">
        <f>IF($AD$4=0,"N.D.",AD5/$AD$4)</f>
        <v>N.D.</v>
      </c>
      <c r="AG5" s="242">
        <f>TablasER!BA5</f>
        <v>109604.515896</v>
      </c>
      <c r="AH5" s="330">
        <f>IF($AG$4=0,"N.D.",AG5/$AG$4)</f>
        <v>0.60283691486145</v>
      </c>
      <c r="AJ5" s="242">
        <f>AA5-AD5</f>
        <v>172756.56558884</v>
      </c>
      <c r="AK5" s="330">
        <f>IFERROR(IF(0&gt;AJ5,(IF(0&gt;AJ5,AJ5/-1,AJ5)/AD5)/-1,(IF(0&gt;AJ5,AJ5/-1,AJ5)/AD5)),0)</f>
        <v>0</v>
      </c>
      <c r="AM5" s="242">
        <f>AA5-AG5</f>
        <v>63152.04969284</v>
      </c>
      <c r="AN5" s="330">
        <f>IFERROR(IF(0&gt;AM5,(IF(0&gt;AM5,AM5/-1,AM5)/AG5)/-1,(IF(0&gt;AM5,AM5/-1,AM5)/AG5)),0)</f>
        <v>0.57618109232619</v>
      </c>
      <c r="AQ5" s="4" t="s">
        <v>28</v>
      </c>
      <c r="AR5" s="14"/>
      <c r="AS5" s="14">
        <f>(BDER_sig!D6+BDER_sig!D28+BDER_sig!D50+BDER_sig!D72+BDER_sig!D94+BDER_sig!D116)/1000</f>
        <v>0</v>
      </c>
      <c r="AT5" s="8">
        <f>(BDER_sig!D469+BDER_sig!D492+BDER_sig!D559+BDER_sig!D604)/1000</f>
        <v>1066.037</v>
      </c>
      <c r="AU5" s="14">
        <f>(BDER_sig!D514+BDER_sig!D536+BDER_sig!D581+BDER_sig!D626+BDER_sig!D648)/1000</f>
        <v>103.315</v>
      </c>
      <c r="AV5" s="14">
        <f>(BDER_sig!D292+BDER_sig!D314+BDER_sig!D336+BDER_sig!D358)/1000</f>
        <v>32259.725</v>
      </c>
      <c r="AW5" s="14">
        <f>(BDER_sig!D424+BDER_sig!D446)/1000</f>
        <v>5620.934</v>
      </c>
      <c r="AX5" s="14">
        <f>SUM(AR5:AW5)</f>
        <v>39050.011</v>
      </c>
      <c r="AZ5" s="344" t="s">
        <v>28</v>
      </c>
      <c r="BA5" s="354">
        <f>BY30</f>
        <v>0</v>
      </c>
      <c r="BB5" s="355" t="str">
        <f>IF(BA$3=0,"N.D.",BA5/BA$3)</f>
        <v>N.D.</v>
      </c>
      <c r="BC5" s="354">
        <f>AX5</f>
        <v>39050.011</v>
      </c>
      <c r="BD5" s="355">
        <f>IF(BC$3=0,"N.D.",BC5/BC$3)</f>
        <v>0.45877073233405</v>
      </c>
      <c r="BE5" s="354">
        <f>AX30</f>
        <v>62077.00411</v>
      </c>
      <c r="BF5" s="355">
        <f>IF(BE$3=0,"N.D.",BE5/BE$3)</f>
        <v>0.40853379383902</v>
      </c>
      <c r="BG5" s="354">
        <f>+BA5-BC5</f>
        <v>-39050.011</v>
      </c>
      <c r="BH5" s="356">
        <f>IF(BC5=0,"N.D.",BA5/BC5-1)</f>
        <v>-1</v>
      </c>
      <c r="BI5" s="354">
        <f>+BA5-BE5</f>
        <v>-62077.00411</v>
      </c>
      <c r="BJ5" s="356">
        <f>IF(BE5=0, "N.D.",BA5/BE5-1)</f>
        <v>-1</v>
      </c>
      <c r="BL5" s="344" t="s">
        <v>28</v>
      </c>
      <c r="BM5" s="354"/>
      <c r="BN5" s="355" t="str">
        <f>IF(BM$3=0,"N.D.",BM5/BM$3)</f>
        <v>0</v>
      </c>
      <c r="BO5" s="354">
        <f>BO3-BO4</f>
        <v>0</v>
      </c>
      <c r="BP5" s="355" t="str">
        <f>IF(BO$3=0,"N.D.",BO5/BO$3)</f>
        <v>N.D.</v>
      </c>
      <c r="BQ5" s="354">
        <f>BQ3-BQ4</f>
        <v>0</v>
      </c>
      <c r="BR5" s="355" t="str">
        <f>IF(BQ$3=0,"N.D.",BQ5/BQ$3)</f>
        <v>N.D.</v>
      </c>
      <c r="BS5" s="354">
        <f>BS3-BS4</f>
        <v>0</v>
      </c>
      <c r="BT5" s="355" t="str">
        <f>IF(BS$3=0,"N.D.",BS5/BS$3)</f>
        <v>N.D.</v>
      </c>
      <c r="BU5" s="354">
        <f>BU3-BU4</f>
        <v>0</v>
      </c>
      <c r="BV5" s="355" t="str">
        <f>IF(BU$3=0,"N.D.",BU5/BU$3)</f>
        <v>N.D.</v>
      </c>
      <c r="BW5" s="354">
        <f>BW3-BW4</f>
        <v>0</v>
      </c>
      <c r="BX5" s="355" t="str">
        <f>IF(BW$3=0,"N.D.",BW5/BW$3)</f>
        <v>N.D.</v>
      </c>
      <c r="BY5" s="354">
        <f>BM5+BO5+BQ5+BS5+BU5+BW5</f>
        <v>0</v>
      </c>
      <c r="BZ5" s="355" t="str">
        <f>IF(BY$3=0,"N.D.",BY5/BY$3)</f>
        <v>N.D.</v>
      </c>
    </row>
    <row r="6" spans="1:78">
      <c r="B6" s="4" t="s">
        <v>28</v>
      </c>
      <c r="C6" s="14"/>
      <c r="D6" s="311"/>
      <c r="E6" s="316"/>
      <c r="F6" s="14">
        <f>TablasER!E6-TablasER!U6</f>
        <v>25931.54628</v>
      </c>
      <c r="G6" s="311">
        <f>IFERROR(F6/TablasER!U6,0)</f>
        <v>0</v>
      </c>
      <c r="H6" s="316"/>
      <c r="I6" s="214">
        <f>TablasER!G6-TablasER!W6</f>
        <v>2841.563770704</v>
      </c>
      <c r="J6" s="311">
        <f>IFERROR(I6/TablasER!W6,0)</f>
        <v>0.14596674842942</v>
      </c>
      <c r="K6" s="316"/>
      <c r="L6" s="214">
        <f>TablasER!I6-TablasER!Y6</f>
        <v>-15.719523552</v>
      </c>
      <c r="M6" s="311">
        <f>IFERROR(L6/TablasER!Y6,0)</f>
        <v>-0.0074824548736463</v>
      </c>
      <c r="N6" s="316"/>
      <c r="O6" s="214">
        <f>TablasER!K6-TablasER!AA6</f>
        <v>-6343.001305</v>
      </c>
      <c r="P6" s="311">
        <f>IFERROR(O6/TablasER!AA6,0)</f>
        <v>-0.1352246324142</v>
      </c>
      <c r="Q6" s="316"/>
      <c r="R6" s="214">
        <f>TablasER!M6-TablasER!AC6</f>
        <v>-204.05117</v>
      </c>
      <c r="S6" s="311">
        <f>IFERROR(R6/TablasER!AC6,0)</f>
        <v>-0.054634675376035</v>
      </c>
      <c r="T6" s="316"/>
      <c r="U6" s="214">
        <f>TablasER!O6-TablasER!AE6</f>
        <v>22210.338052152</v>
      </c>
      <c r="V6" s="43">
        <f>IFERROR(U6/TablasER!AE6,0)</f>
        <v>0.30757971029466</v>
      </c>
      <c r="Y6" s="331" t="s">
        <v>28</v>
      </c>
      <c r="AA6" s="239">
        <f>AA4-AA5</f>
        <v>94420.361368952</v>
      </c>
      <c r="AB6" s="332">
        <f>IF($AA$4=0,"N.D.",AA6/$AA$4)</f>
        <v>0.35340013242936</v>
      </c>
      <c r="AD6" s="239">
        <f>AD4-AD5</f>
        <v>0</v>
      </c>
      <c r="AE6" s="332" t="str">
        <f>IF($AD$4=0,"N.D.",AD6/$AD$4)</f>
        <v>N.D.</v>
      </c>
      <c r="AG6" s="239">
        <f>TablasER!BA6</f>
        <v>72210.0233168</v>
      </c>
      <c r="AH6" s="332">
        <f>IF($AG$4=0,"N.D.",AG6/$AG$4)</f>
        <v>0.39716308513855</v>
      </c>
      <c r="AJ6" s="239">
        <f>AA6-AD6</f>
        <v>94420.361368952</v>
      </c>
      <c r="AK6" s="332">
        <f>IFERROR(IF(0&gt;AJ6,(IF(0&gt;AJ6,AJ6/-1,AJ6)/AD6)/-1,(IF(0&gt;AJ6,AJ6/-1,AJ6)/AD6)),0)</f>
        <v>0</v>
      </c>
      <c r="AM6" s="239">
        <f>AA6-AG6</f>
        <v>22210.338052152</v>
      </c>
      <c r="AN6" s="332">
        <f>IFERROR(IF(0&gt;AM6,(IF(0&gt;AM6,AM6/-1,AM6)/AG6)/-1,(IF(0&gt;AM6,AM6/-1,AM6)/AG6)),0)</f>
        <v>0.30757971029466</v>
      </c>
      <c r="AQ6" s="1"/>
      <c r="AS6" s="307"/>
      <c r="AT6" s="307"/>
      <c r="AU6" s="307"/>
      <c r="AV6" s="307"/>
      <c r="AW6" s="307"/>
      <c r="AX6" s="30"/>
      <c r="AZ6" s="341"/>
      <c r="BA6" s="357"/>
      <c r="BB6" s="358"/>
      <c r="BC6" s="357"/>
      <c r="BD6" s="358"/>
      <c r="BE6" s="357"/>
      <c r="BF6" s="358"/>
      <c r="BG6" s="357"/>
      <c r="BH6" s="359"/>
      <c r="BI6" s="357"/>
      <c r="BJ6" s="359"/>
      <c r="BL6" s="347"/>
      <c r="BM6" s="357"/>
      <c r="BN6" s="358"/>
      <c r="BO6" s="357"/>
      <c r="BP6" s="358"/>
      <c r="BQ6" s="357"/>
      <c r="BR6" s="358"/>
      <c r="BS6" s="357"/>
      <c r="BT6" s="358"/>
      <c r="BU6" s="357"/>
      <c r="BV6" s="358"/>
      <c r="BW6" s="357"/>
      <c r="BX6" s="358"/>
      <c r="BY6" s="357"/>
      <c r="BZ6" s="358"/>
    </row>
    <row r="7" spans="1:78" s="307" customFormat="1">
      <c r="B7" s="1"/>
      <c r="C7" s="30"/>
      <c r="D7" s="44"/>
      <c r="E7" s="44"/>
      <c r="F7" s="30"/>
      <c r="G7" s="44"/>
      <c r="H7" s="44"/>
      <c r="I7" s="30"/>
      <c r="J7" s="44"/>
      <c r="K7" s="44"/>
      <c r="L7" s="30"/>
      <c r="M7" s="44"/>
      <c r="N7" s="44"/>
      <c r="O7" s="30"/>
      <c r="P7" s="44"/>
      <c r="Q7" s="44"/>
      <c r="R7" s="30"/>
      <c r="S7" s="44"/>
      <c r="T7" s="44"/>
      <c r="U7" s="30"/>
      <c r="V7" s="44"/>
      <c r="Y7" s="333"/>
      <c r="Z7" s="307"/>
      <c r="AA7" s="334"/>
      <c r="AB7" s="335"/>
      <c r="AC7" s="307"/>
      <c r="AD7" s="334"/>
      <c r="AE7" s="335"/>
      <c r="AF7" s="307"/>
      <c r="AG7" s="334"/>
      <c r="AH7" s="335"/>
      <c r="AI7" s="307"/>
      <c r="AJ7" s="334"/>
      <c r="AK7" s="335"/>
      <c r="AL7" s="307"/>
      <c r="AM7" s="334"/>
      <c r="AN7" s="335"/>
      <c r="AQ7" s="7" t="s">
        <v>29</v>
      </c>
      <c r="AR7" s="203"/>
      <c r="AS7" s="203">
        <f>(BDER_sig!D7+BDER_sig!D29+BDER_sig!D51+BDER_sig!D73+BDER_sig!D95+BDER_sig!D117)/1000</f>
        <v>0</v>
      </c>
      <c r="AT7" s="8">
        <f>(BDER_sig!D470+BDER_sig!D493+BDER_sig!D560+BDER_sig!D605)/1000</f>
        <v>923.915</v>
      </c>
      <c r="AU7" s="203">
        <f>(BDER_sig!D515+BDER_sig!D537+BDER_sig!D582+BDER_sig!D627+BDER_sig!D649)/1000</f>
        <v>33.2</v>
      </c>
      <c r="AV7" s="203">
        <f>(BDER_sig!D293+BDER_sig!D315+BDER_sig!D337+BDER_sig!D359)/1000</f>
        <v>14987.626</v>
      </c>
      <c r="AW7" s="203">
        <f>(BDER_sig!D425+BDER_sig!D447)/1000</f>
        <v>441.809</v>
      </c>
      <c r="AX7" s="8">
        <f>SUM(AR7:AW7)</f>
        <v>16386.55</v>
      </c>
      <c r="AZ7" s="347" t="s">
        <v>29</v>
      </c>
      <c r="BA7" s="348">
        <f>BY32</f>
        <v>0</v>
      </c>
      <c r="BB7" s="349" t="str">
        <f>IF(BA$3=0,"N.D.",BA7/BA$3)</f>
        <v>N.D.</v>
      </c>
      <c r="BC7" s="348">
        <f>AX7</f>
        <v>16386.55</v>
      </c>
      <c r="BD7" s="349">
        <f>IF(BC$3=0,"N.D.",BC7/BC$3)</f>
        <v>0.19251389055764</v>
      </c>
      <c r="BE7" s="348">
        <f>AX32</f>
        <v>33310.72636</v>
      </c>
      <c r="BF7" s="349">
        <f>IF(BE$3=0,"N.D.",BE7/BE$3)</f>
        <v>0.21922058917776</v>
      </c>
      <c r="BG7" s="348">
        <f>+BA7-BC7</f>
        <v>-16386.55</v>
      </c>
      <c r="BH7" s="350">
        <f>IF(BC7=0,"N.D.",BA7/BC7-1)</f>
        <v>-1</v>
      </c>
      <c r="BI7" s="348">
        <f>+BA7-BE7</f>
        <v>-33310.72636</v>
      </c>
      <c r="BJ7" s="350">
        <f>IF(BE7=0, "N.D.",BA7/BE7-1)</f>
        <v>-1</v>
      </c>
      <c r="BL7" s="347" t="s">
        <v>29</v>
      </c>
      <c r="BM7" s="348"/>
      <c r="BN7" s="349" t="str">
        <f>IF(BM$3=0,"N.D.",BM7/BM$3)</f>
        <v>0</v>
      </c>
      <c r="BO7" s="348">
        <f>proyeccion!B5</f>
        <v>0</v>
      </c>
      <c r="BP7" s="349" t="str">
        <f>IF(BO$3=0,"N.D.",BO7/BO$3)</f>
        <v>N.D.</v>
      </c>
      <c r="BQ7" s="348">
        <f>proyeccion!G5*TC_PROY</f>
        <v>0</v>
      </c>
      <c r="BR7" s="349" t="str">
        <f>IF(BQ$3=0,"N.D.",BQ7/BQ$3)</f>
        <v>N.D.</v>
      </c>
      <c r="BS7" s="348">
        <f>proyeccion!H5*TC_PROY</f>
        <v>0</v>
      </c>
      <c r="BT7" s="349" t="str">
        <f>IF(BS$3=0,"N.D.",BS7/BS$3)</f>
        <v>N.D.</v>
      </c>
      <c r="BU7" s="348">
        <f>proyeccion!E5</f>
        <v>0</v>
      </c>
      <c r="BV7" s="349" t="str">
        <f>IF(BU$3=0,"N.D.",BU7/BU$3)</f>
        <v>N.D.</v>
      </c>
      <c r="BW7" s="348">
        <f>proyeccion!F5</f>
        <v>0</v>
      </c>
      <c r="BX7" s="349" t="str">
        <f>IF(BW$3=0,"N.D.",BW7/BW$3)</f>
        <v>N.D.</v>
      </c>
      <c r="BY7" s="348">
        <f>BM7+BO7+BQ7+BS7+BU7+BW7</f>
        <v>0</v>
      </c>
      <c r="BZ7" s="349" t="str">
        <f>IF(BY$3=0,"N.D.",BY7/BY$3)</f>
        <v>N.D.</v>
      </c>
    </row>
    <row r="8" spans="1:78">
      <c r="B8" s="7" t="s">
        <v>29</v>
      </c>
      <c r="C8" s="8"/>
      <c r="D8" s="310"/>
      <c r="E8" s="42"/>
      <c r="F8" s="8">
        <f>TablasER!E8-TablasER!U8</f>
        <v>12855.634</v>
      </c>
      <c r="G8" s="310">
        <f>IFERROR(F8/TablasER!U8,0)</f>
        <v>0</v>
      </c>
      <c r="H8" s="42"/>
      <c r="I8" s="204">
        <f>TablasER!G8-TablasER!W8</f>
        <v>555.898246056</v>
      </c>
      <c r="J8" s="310">
        <f>IFERROR(I8/TablasER!W8,0)</f>
        <v>0.029445131253053</v>
      </c>
      <c r="K8" s="42"/>
      <c r="L8" s="204">
        <f>TablasER!I8-TablasER!Y8</f>
        <v>-234.15059952</v>
      </c>
      <c r="M8" s="310">
        <f>IFERROR(L8/TablasER!Y8,0)</f>
        <v>-0.34871686746988</v>
      </c>
      <c r="N8" s="42"/>
      <c r="O8" s="204">
        <f>TablasER!K8-TablasER!AA8</f>
        <v>1550.072435</v>
      </c>
      <c r="P8" s="310">
        <f>IFERROR(O8/TablasER!AA8,0)</f>
        <v>0.078355986001321</v>
      </c>
      <c r="Q8" s="42"/>
      <c r="R8" s="204">
        <f>TablasER!M8-TablasER!AC8</f>
        <v>-238.305</v>
      </c>
      <c r="S8" s="310">
        <f>IFERROR(R8/TablasER!AC8,0)</f>
        <v>-0.83126654736864</v>
      </c>
      <c r="T8" s="42"/>
      <c r="U8" s="204">
        <f>TablasER!O8-TablasER!AE8</f>
        <v>14489.149081536</v>
      </c>
      <c r="V8" s="29">
        <f>IFERROR(U8/TablasER!AE8,0)</f>
        <v>0.36570566388072</v>
      </c>
      <c r="Y8" s="328" t="s">
        <v>29</v>
      </c>
      <c r="AA8" s="241">
        <f>TablasER!AY8</f>
        <v>54108.850148736</v>
      </c>
      <c r="AB8" s="329">
        <f>IF($AA$4=0,"N.D.",AA8/$AA$4)</f>
        <v>0.2025206695984</v>
      </c>
      <c r="AD8" s="241">
        <f>BY7</f>
        <v>0</v>
      </c>
      <c r="AE8" s="329" t="str">
        <f>IF($AD$4=0,"N.D.",AD8/$AD$4)</f>
        <v>N.D.</v>
      </c>
      <c r="AG8" s="241">
        <f>TablasER!BA8</f>
        <v>39619.7010672</v>
      </c>
      <c r="AH8" s="329">
        <f>IF($AG$4=0,"N.D.",AG8/$AG$4)</f>
        <v>0.21791272160489</v>
      </c>
      <c r="AJ8" s="241">
        <f>AA8-AD8</f>
        <v>54108.850148736</v>
      </c>
      <c r="AK8" s="329">
        <f>IFERROR(IF(0&gt;AJ8,(IF(0&gt;AJ8,AJ8/-1,AJ8)/AD8)/-1,(IF(0&gt;AJ8,AJ8/-1,AJ8)/AD8)),0)</f>
        <v>0</v>
      </c>
      <c r="AM8" s="241">
        <f>AA8-AG8</f>
        <v>14489.149081536</v>
      </c>
      <c r="AN8" s="329">
        <f>IFERROR(IF(0&gt;AM8,(IF(0&gt;AM8,AM8/-1,AM8)/AG8)/-1,(IF(0&gt;AM8,AM8/-1,AM8)/AG8)),0)</f>
        <v>0.36570566388072</v>
      </c>
      <c r="AQ8" s="7" t="s">
        <v>30</v>
      </c>
      <c r="AR8" s="8"/>
      <c r="AS8" s="203">
        <f>(BDER_sig!D8+BDER_sig!D30+BDER_sig!D52+BDER_sig!D74+BDER_sig!D96+BDER_sig!D118)/1000</f>
        <v>0</v>
      </c>
      <c r="AT8" s="8">
        <f>(BDER_sig!D471+BDER_sig!D494+BDER_sig!D561+BDER_sig!D606)/1000</f>
        <v>53.313</v>
      </c>
      <c r="AU8" s="203">
        <f>(BDER_sig!D516+BDER_sig!D538+BDER_sig!D583+BDER_sig!D628+BDER_sig!D650)/1000</f>
        <v>0</v>
      </c>
      <c r="AV8" s="203">
        <f>(BDER_sig!D294+BDER_sig!D316+BDER_sig!D338+BDER_sig!D360)/1000</f>
        <v>5291.799</v>
      </c>
      <c r="AW8" s="203">
        <f>(BDER_sig!D426+BDER_sig!D448)/1000</f>
        <v>539.61</v>
      </c>
      <c r="AX8" s="11">
        <f>SUM(AR8:AW8)</f>
        <v>5884.722</v>
      </c>
      <c r="AZ8" s="347" t="s">
        <v>30</v>
      </c>
      <c r="BA8" s="351">
        <f>BY33</f>
        <v>0</v>
      </c>
      <c r="BB8" s="352" t="str">
        <f>IF(BA$3=0,"N.D.",BA8/BA$3)</f>
        <v>N.D.</v>
      </c>
      <c r="BC8" s="351">
        <f>AX8</f>
        <v>5884.722</v>
      </c>
      <c r="BD8" s="352">
        <f>IF(BC$3=0,"N.D.",BC8/BC$3)</f>
        <v>0.069135402331187</v>
      </c>
      <c r="BE8" s="351">
        <f>AX33</f>
        <v>14462.691</v>
      </c>
      <c r="BF8" s="352">
        <f>IF(BE$3=0,"N.D.",BE8/BE$3)</f>
        <v>0.09518014131097</v>
      </c>
      <c r="BG8" s="351">
        <f>+BA8-BC8</f>
        <v>-5884.722</v>
      </c>
      <c r="BH8" s="353">
        <f>IF(BC8=0,"N.D.",BA8/BC8-1)</f>
        <v>-1</v>
      </c>
      <c r="BI8" s="351">
        <f>+BA8-BE8</f>
        <v>-14462.691</v>
      </c>
      <c r="BJ8" s="353">
        <f>IF(BE8=0, "N.D.",BA8/BE8-1)</f>
        <v>-1</v>
      </c>
      <c r="BL8" s="347" t="s">
        <v>30</v>
      </c>
      <c r="BM8" s="351"/>
      <c r="BN8" s="352" t="str">
        <f>IF(BM$3=0,"N.D.",BM8/BM$3)</f>
        <v>0</v>
      </c>
      <c r="BO8" s="351">
        <f>proyeccion!B6</f>
        <v>0</v>
      </c>
      <c r="BP8" s="352" t="str">
        <f>IF(BO$3=0,"N.D.",BO8/BO$3)</f>
        <v>N.D.</v>
      </c>
      <c r="BQ8" s="351">
        <f>proyeccion!G6*TC_PROY</f>
        <v>0</v>
      </c>
      <c r="BR8" s="352" t="str">
        <f>IF(BQ$3=0,"N.D.",BQ8/BQ$3)</f>
        <v>N.D.</v>
      </c>
      <c r="BS8" s="351">
        <f>proyeccion!H6*TC_PROY</f>
        <v>0</v>
      </c>
      <c r="BT8" s="352" t="str">
        <f>IF(BS$3=0,"N.D.",BS8/BS$3)</f>
        <v>N.D.</v>
      </c>
      <c r="BU8" s="351">
        <f>proyeccion!E6</f>
        <v>0</v>
      </c>
      <c r="BV8" s="352" t="str">
        <f>IF(BU$3=0,"N.D.",BU8/BU$3)</f>
        <v>N.D.</v>
      </c>
      <c r="BW8" s="351">
        <f>proyeccion!F6</f>
        <v>0</v>
      </c>
      <c r="BX8" s="352" t="str">
        <f>IF(BW$3=0,"N.D.",BW8/BW$3)</f>
        <v>N.D.</v>
      </c>
      <c r="BY8" s="351">
        <f>BM8+BO8+BQ8+BS8+BU8+BW8</f>
        <v>0</v>
      </c>
      <c r="BZ8" s="352" t="str">
        <f>IF(BY$3=0,"N.D.",BY8/BY$3)</f>
        <v>N.D.</v>
      </c>
    </row>
    <row r="9" spans="1:78">
      <c r="B9" s="7" t="s">
        <v>30</v>
      </c>
      <c r="C9" s="11"/>
      <c r="D9" s="44"/>
      <c r="E9" s="42"/>
      <c r="F9" s="11">
        <f>TablasER!E9-TablasER!U9</f>
        <v>5805.38222</v>
      </c>
      <c r="G9" s="44">
        <f>IFERROR(F9/TablasER!U9,0)</f>
        <v>0</v>
      </c>
      <c r="H9" s="42"/>
      <c r="I9" s="206">
        <f>TablasER!G9-TablasER!W9</f>
        <v>-553.903271784</v>
      </c>
      <c r="J9" s="44">
        <f>IFERROR(I9/TablasER!W9,0)</f>
        <v>-0.44340462390312</v>
      </c>
      <c r="K9" s="42"/>
      <c r="L9" s="206">
        <f>TablasER!I9-TablasER!Y9</f>
        <v>0.473058072</v>
      </c>
      <c r="M9" s="44">
        <f>IFERROR(L9/TablasER!Y9,0)</f>
        <v>0</v>
      </c>
      <c r="N9" s="42"/>
      <c r="O9" s="206">
        <f>TablasER!K9-TablasER!AA9</f>
        <v>934.25609</v>
      </c>
      <c r="P9" s="44">
        <f>IFERROR(O9/TablasER!AA9,0)</f>
        <v>0.13514358107253</v>
      </c>
      <c r="Q9" s="42"/>
      <c r="R9" s="206">
        <f>TablasER!M9-TablasER!AC9</f>
        <v>17.8701</v>
      </c>
      <c r="S9" s="44">
        <f>IFERROR(R9/TablasER!AC9,0)</f>
        <v>0.031706499174961</v>
      </c>
      <c r="T9" s="42"/>
      <c r="U9" s="206">
        <f>TablasER!O9-TablasER!AE9</f>
        <v>6204.078196288</v>
      </c>
      <c r="V9" s="42">
        <f>IFERROR(U9/TablasER!AE9,0)</f>
        <v>0.71099758655383</v>
      </c>
      <c r="Y9" s="328" t="s">
        <v>30</v>
      </c>
      <c r="AA9" s="242">
        <f>TablasER!AY9</f>
        <v>14929.956193088</v>
      </c>
      <c r="AB9" s="330">
        <f>IF($AA$4=0,"N.D.",AA9/$AA$4)</f>
        <v>0.055880409895749</v>
      </c>
      <c r="AD9" s="242">
        <f>BY8</f>
        <v>0</v>
      </c>
      <c r="AE9" s="330" t="str">
        <f>IF($AD$4=0,"N.D.",AD9/$AD$4)</f>
        <v>N.D.</v>
      </c>
      <c r="AG9" s="242">
        <f>TablasER!BA9</f>
        <v>8725.8779968</v>
      </c>
      <c r="AH9" s="330">
        <f>IF($AG$4=0,"N.D.",AG9/$AG$4)</f>
        <v>0.0479932904958</v>
      </c>
      <c r="AJ9" s="242">
        <f>AA9-AD9</f>
        <v>14929.956193088</v>
      </c>
      <c r="AK9" s="330">
        <f>IFERROR(IF(0&gt;AJ9,(IF(0&gt;AJ9,AJ9/-1,AJ9)/AD9)/-1,(IF(0&gt;AJ9,AJ9/-1,AJ9)/AD9)),0)</f>
        <v>0</v>
      </c>
      <c r="AM9" s="242">
        <f>AA9-AG9</f>
        <v>6204.078196288</v>
      </c>
      <c r="AN9" s="330">
        <f>IFERROR(IF(0&gt;AM9,(IF(0&gt;AM9,AM9/-1,AM9)/AG9)/-1,(IF(0&gt;AM9,AM9/-1,AM9)/AG9)),0)</f>
        <v>0.71099758655383</v>
      </c>
      <c r="AQ9" s="7" t="s">
        <v>31</v>
      </c>
      <c r="AR9" s="8"/>
      <c r="AS9" s="203">
        <f>(BDER_sig!D9+BDER_sig!D31+BDER_sig!D53+BDER_sig!D75+BDER_sig!D97+BDER_sig!D119)/1000</f>
        <v>0</v>
      </c>
      <c r="AT9" s="8">
        <f>(BDER_sig!D472+BDER_sig!D495+BDER_sig!D562+BDER_sig!D607)/1000</f>
        <v>13.294</v>
      </c>
      <c r="AU9" s="203">
        <f>(BDER_sig!D517+BDER_sig!D539+BDER_sig!D584+BDER_sig!D629+BDER_sig!D651)/1000</f>
        <v>13.698</v>
      </c>
      <c r="AV9" s="203">
        <f>(BDER_sig!D295+BDER_sig!D317+BDER_sig!D339+BDER_sig!D361)/1000</f>
        <v>1694.868</v>
      </c>
      <c r="AW9" s="203">
        <f>(BDER_sig!D427+BDER_sig!D449)/1000</f>
        <v>33.756</v>
      </c>
      <c r="AX9" s="11">
        <f>SUM(AR9:AW9)</f>
        <v>1755.616</v>
      </c>
      <c r="AZ9" s="347" t="s">
        <v>31</v>
      </c>
      <c r="BA9" s="351">
        <f>BY34</f>
        <v>0</v>
      </c>
      <c r="BB9" s="352" t="str">
        <f>IF(BA$3=0,"N.D.",BA9/BA$3)</f>
        <v>N.D.</v>
      </c>
      <c r="BC9" s="351">
        <f>AX9</f>
        <v>1755.616</v>
      </c>
      <c r="BD9" s="352">
        <f>IF(BC$3=0,"N.D.",BC9/BC$3)</f>
        <v>0.02062548043885</v>
      </c>
      <c r="BE9" s="351">
        <f>AX34</f>
        <v>2834.84861</v>
      </c>
      <c r="BF9" s="352">
        <f>IF(BE$3=0,"N.D.",BE9/BE$3)</f>
        <v>0.018656368396103</v>
      </c>
      <c r="BG9" s="351">
        <f>+BA9-BC9</f>
        <v>-1755.616</v>
      </c>
      <c r="BH9" s="353">
        <f>IF(BC9=0,"N.D.",BA9/BC9-1)</f>
        <v>-1</v>
      </c>
      <c r="BI9" s="351">
        <f>+BA9-BE9</f>
        <v>-2834.84861</v>
      </c>
      <c r="BJ9" s="353">
        <f>IF(BE9=0, "N.D.",BA9/BE9-1)</f>
        <v>-1</v>
      </c>
      <c r="BL9" s="347" t="s">
        <v>31</v>
      </c>
      <c r="BM9" s="351"/>
      <c r="BN9" s="352" t="str">
        <f>IF(BM$3=0,"N.D.",BM9/BM$3)</f>
        <v>0</v>
      </c>
      <c r="BO9" s="351">
        <f>proyeccion!B7</f>
        <v>0</v>
      </c>
      <c r="BP9" s="352" t="str">
        <f>IF(BO$3=0,"N.D.",BO9/BO$3)</f>
        <v>N.D.</v>
      </c>
      <c r="BQ9" s="351">
        <f>proyeccion!G7*TC_PROY</f>
        <v>0</v>
      </c>
      <c r="BR9" s="352" t="str">
        <f>IF(BQ$3=0,"N.D.",BQ9/BQ$3)</f>
        <v>N.D.</v>
      </c>
      <c r="BS9" s="351">
        <f>proyeccion!H7*TC_PROY</f>
        <v>0</v>
      </c>
      <c r="BT9" s="352" t="str">
        <f>IF(BS$3=0,"N.D.",BS9/BS$3)</f>
        <v>N.D.</v>
      </c>
      <c r="BU9" s="351">
        <f>proyeccion!E7</f>
        <v>0</v>
      </c>
      <c r="BV9" s="352" t="str">
        <f>IF(BU$3=0,"N.D.",BU9/BU$3)</f>
        <v>N.D.</v>
      </c>
      <c r="BW9" s="351">
        <f>proyeccion!F7</f>
        <v>0</v>
      </c>
      <c r="BX9" s="352" t="str">
        <f>IF(BW$3=0,"N.D.",BW9/BW$3)</f>
        <v>N.D.</v>
      </c>
      <c r="BY9" s="351">
        <f>BM9+BO9+BQ9+BS9+BU9+BW9</f>
        <v>0</v>
      </c>
      <c r="BZ9" s="352" t="str">
        <f>IF(BY$3=0,"N.D.",BY9/BY$3)</f>
        <v>N.D.</v>
      </c>
    </row>
    <row r="10" spans="1:78">
      <c r="B10" s="7" t="s">
        <v>31</v>
      </c>
      <c r="C10" s="34"/>
      <c r="D10" s="44"/>
      <c r="E10" s="42"/>
      <c r="F10" s="34">
        <f>TablasER!E10-TablasER!U10</f>
        <v>910.51363</v>
      </c>
      <c r="G10" s="44">
        <f>IFERROR(F10/TablasER!U10,0)</f>
        <v>0</v>
      </c>
      <c r="H10" s="42"/>
      <c r="I10" s="207">
        <f>TablasER!G10-TablasER!W10</f>
        <v>107.549216712</v>
      </c>
      <c r="J10" s="44">
        <f>IFERROR(I10/TablasER!W10,0)</f>
        <v>0.40000676997142</v>
      </c>
      <c r="K10" s="42"/>
      <c r="L10" s="207">
        <f>TablasER!I10-TablasER!Y10</f>
        <v>332.219238984</v>
      </c>
      <c r="M10" s="44">
        <f>IFERROR(L10/TablasER!Y10,0)</f>
        <v>1.1991772521536</v>
      </c>
      <c r="N10" s="42"/>
      <c r="O10" s="207">
        <f>TablasER!K10-TablasER!AA10</f>
        <v>-360.44604</v>
      </c>
      <c r="P10" s="44">
        <f>IFERROR(O10/TablasER!AA10,0)</f>
        <v>-0.15656251058747</v>
      </c>
      <c r="Q10" s="42"/>
      <c r="R10" s="207">
        <f>TablasER!M10-TablasER!AC10</f>
        <v>-1.83059</v>
      </c>
      <c r="S10" s="44">
        <f>IFERROR(R10/TablasER!AC10,0)</f>
        <v>-0.05423006280365</v>
      </c>
      <c r="T10" s="42"/>
      <c r="U10" s="207">
        <f>TablasER!O10-TablasER!AE10</f>
        <v>988.005455696</v>
      </c>
      <c r="V10" s="42">
        <f>IFERROR(U10/TablasER!AE10,0)</f>
        <v>0.34282963465024</v>
      </c>
      <c r="Y10" s="328" t="s">
        <v>31</v>
      </c>
      <c r="AA10" s="242">
        <f>TablasER!AY10</f>
        <v>3869.919257296</v>
      </c>
      <c r="AB10" s="330">
        <f>IF($AA$4=0,"N.D.",AA10/$AA$4)</f>
        <v>0.014484481505798</v>
      </c>
      <c r="AD10" s="242">
        <f>BY9</f>
        <v>0</v>
      </c>
      <c r="AE10" s="330" t="str">
        <f>IF($AD$4=0,"N.D.",AD10/$AD$4)</f>
        <v>N.D.</v>
      </c>
      <c r="AG10" s="242">
        <f>TablasER!BA10</f>
        <v>2881.9138016</v>
      </c>
      <c r="AH10" s="330">
        <f>IF($AG$4=0,"N.D.",AG10/$AG$4)</f>
        <v>0.015850843469823</v>
      </c>
      <c r="AJ10" s="242">
        <f>AA10-AD10</f>
        <v>3869.919257296</v>
      </c>
      <c r="AK10" s="330">
        <f>IFERROR(IF(0&gt;AJ10,(IF(0&gt;AJ10,AJ10/-1,AJ10)/AD10)/-1,(IF(0&gt;AJ10,AJ10/-1,AJ10)/AD10)),0)</f>
        <v>0</v>
      </c>
      <c r="AM10" s="242">
        <f>AA10-AG10</f>
        <v>988.005455696</v>
      </c>
      <c r="AN10" s="330">
        <f>IFERROR(IF(0&gt;AM10,(IF(0&gt;AM10,AM10/-1,AM10)/AG10)/-1,(IF(0&gt;AM10,AM10/-1,AM10)/AG10)),0)</f>
        <v>0.34282963465024</v>
      </c>
      <c r="AQ10" s="4" t="s">
        <v>32</v>
      </c>
      <c r="AR10" s="14"/>
      <c r="AS10" s="203">
        <f>(BDER_sig!D10+BDER_sig!D32+BDER_sig!D54+BDER_sig!D76+BDER_sig!D98+BDER_sig!D120)/1000</f>
        <v>0</v>
      </c>
      <c r="AT10" s="8">
        <f>(BDER_sig!D473+BDER_sig!D496+BDER_sig!D563+BDER_sig!D608)/1000</f>
        <v>990.522</v>
      </c>
      <c r="AU10" s="203">
        <f>(BDER_sig!D518+BDER_sig!D540+BDER_sig!D585+BDER_sig!D630+BDER_sig!D652)/1000</f>
        <v>46.898</v>
      </c>
      <c r="AV10" s="203">
        <f>(BDER_sig!D296+BDER_sig!D318+BDER_sig!D340+BDER_sig!D362)/1000</f>
        <v>21974.293</v>
      </c>
      <c r="AW10" s="203">
        <f>(BDER_sig!D428+BDER_sig!D450)/1000</f>
        <v>1015.175</v>
      </c>
      <c r="AX10" s="14">
        <f>SUM(AR10:AW10)</f>
        <v>24026.888</v>
      </c>
      <c r="AZ10" s="344" t="s">
        <v>32</v>
      </c>
      <c r="BA10" s="354">
        <f>BY35</f>
        <v>0</v>
      </c>
      <c r="BB10" s="355" t="str">
        <f>IF(BA$3=0,"N.D.",BA10/BA$3)</f>
        <v>N.D.</v>
      </c>
      <c r="BC10" s="354">
        <f>AX10</f>
        <v>24026.888</v>
      </c>
      <c r="BD10" s="355">
        <f>IF(BC$3=0,"N.D.",BC10/BC$3)</f>
        <v>0.28227477332767</v>
      </c>
      <c r="BE10" s="354">
        <f>AX35</f>
        <v>50608.26597</v>
      </c>
      <c r="BF10" s="355">
        <f>IF(BE$3=0,"N.D.",BE10/BE$3)</f>
        <v>0.33305709888483</v>
      </c>
      <c r="BG10" s="354">
        <f>+BA10-BC10</f>
        <v>-24026.888</v>
      </c>
      <c r="BH10" s="356">
        <f>IF(BC10=0,"N.D.",BA10/BC10-1)</f>
        <v>-1</v>
      </c>
      <c r="BI10" s="354">
        <f>+BA10-BE10</f>
        <v>-50608.26597</v>
      </c>
      <c r="BJ10" s="356">
        <f>IF(BE10=0, "N.D.",BA10/BE10-1)</f>
        <v>-1</v>
      </c>
      <c r="BL10" s="344" t="s">
        <v>32</v>
      </c>
      <c r="BM10" s="354"/>
      <c r="BN10" s="355" t="str">
        <f>IF(BM$3=0,"N.D.",BM10/BM$3)</f>
        <v>0</v>
      </c>
      <c r="BO10" s="354">
        <f>BO7+BO8+BO9</f>
        <v>0</v>
      </c>
      <c r="BP10" s="355" t="str">
        <f>IF(BO$3=0,"N.D.",BO10/BO$3)</f>
        <v>N.D.</v>
      </c>
      <c r="BQ10" s="354">
        <f>BQ7+BQ8+BQ9</f>
        <v>0</v>
      </c>
      <c r="BR10" s="355" t="str">
        <f>IF(BQ$3=0,"N.D.",BQ10/BQ$3)</f>
        <v>N.D.</v>
      </c>
      <c r="BS10" s="354">
        <f>BS7+BS8+BS9</f>
        <v>0</v>
      </c>
      <c r="BT10" s="355" t="str">
        <f>IF(BS$3=0,"N.D.",BS10/BS$3)</f>
        <v>N.D.</v>
      </c>
      <c r="BU10" s="354">
        <f>BU7+BU8+BU9</f>
        <v>0</v>
      </c>
      <c r="BV10" s="355" t="str">
        <f>IF(BU$3=0,"N.D.",BU10/BU$3)</f>
        <v>N.D.</v>
      </c>
      <c r="BW10" s="354">
        <f>BW7+BW8+BW9</f>
        <v>0</v>
      </c>
      <c r="BX10" s="355" t="str">
        <f>IF(BW$3=0,"N.D.",BW10/BW$3)</f>
        <v>N.D.</v>
      </c>
      <c r="BY10" s="354">
        <f>BM10+BO10+BQ10+BS10+BU10+BW10</f>
        <v>0</v>
      </c>
      <c r="BZ10" s="355" t="str">
        <f>IF(BY$3=0,"N.D.",BY10/BY$3)</f>
        <v>N.D.</v>
      </c>
    </row>
    <row r="11" spans="1:78">
      <c r="B11" s="4" t="s">
        <v>32</v>
      </c>
      <c r="C11" s="14"/>
      <c r="D11" s="312"/>
      <c r="E11" s="316"/>
      <c r="F11" s="14">
        <f>TablasER!E11-TablasER!U11</f>
        <v>19571.52985</v>
      </c>
      <c r="G11" s="312">
        <f>IFERROR(F11/TablasER!U11,0)</f>
        <v>0</v>
      </c>
      <c r="H11" s="316"/>
      <c r="I11" s="214">
        <f>TablasER!G11-TablasER!W11</f>
        <v>109.54419098401</v>
      </c>
      <c r="J11" s="312">
        <f>IFERROR(I11/TablasER!W11,0)</f>
        <v>0.0053705514196989</v>
      </c>
      <c r="K11" s="316"/>
      <c r="L11" s="214">
        <f>TablasER!I11-TablasER!Y11</f>
        <v>98.541697536</v>
      </c>
      <c r="M11" s="312">
        <f>IFERROR(L11/TablasER!Y11,0)</f>
        <v>0.10389185039874</v>
      </c>
      <c r="N11" s="316"/>
      <c r="O11" s="214">
        <f>TablasER!K11-TablasER!AA11</f>
        <v>2123.882485</v>
      </c>
      <c r="P11" s="312">
        <f>IFERROR(O11/TablasER!AA11,0)</f>
        <v>0.073243007190454</v>
      </c>
      <c r="Q11" s="316"/>
      <c r="R11" s="214">
        <f>TablasER!M11-TablasER!AC11</f>
        <v>-222.26549</v>
      </c>
      <c r="S11" s="312">
        <f>IFERROR(R11/TablasER!AC11,0)</f>
        <v>-0.25141932010095</v>
      </c>
      <c r="T11" s="316"/>
      <c r="U11" s="214">
        <f>TablasER!O11-TablasER!AE11</f>
        <v>21681.23273352</v>
      </c>
      <c r="V11" s="306">
        <f>IFERROR(U11/TablasER!AE11,0)</f>
        <v>0.42323431268445</v>
      </c>
      <c r="Y11" s="331" t="s">
        <v>32</v>
      </c>
      <c r="AA11" s="239">
        <f>AA8+AA9+AA10</f>
        <v>72908.72559912</v>
      </c>
      <c r="AB11" s="332">
        <f>IF($AA$4=0,"N.D.",AA11/$AA$4)</f>
        <v>0.27288556099995</v>
      </c>
      <c r="AD11" s="239">
        <f>AD8+AD9+AD10</f>
        <v>0</v>
      </c>
      <c r="AE11" s="332" t="str">
        <f>IF($AD$4=0,"N.D.",AD11/$AD$4)</f>
        <v>N.D.</v>
      </c>
      <c r="AG11" s="239">
        <f>TablasER!BA11</f>
        <v>51227.4928656</v>
      </c>
      <c r="AH11" s="332">
        <f>IF($AG$4=0,"N.D.",AG11/$AG$4)</f>
        <v>0.28175685557051</v>
      </c>
      <c r="AJ11" s="239">
        <f>AA11-AD11</f>
        <v>72908.72559912</v>
      </c>
      <c r="AK11" s="332">
        <f>IFERROR(IF(0&gt;AJ11,(IF(0&gt;AJ11,AJ11/-1,AJ11)/AD11)/-1,(IF(0&gt;AJ11,AJ11/-1,AJ11)/AD11)),0)</f>
        <v>0</v>
      </c>
      <c r="AM11" s="239">
        <f>AA11-AG11</f>
        <v>21681.23273352</v>
      </c>
      <c r="AN11" s="332">
        <f>IFERROR(IF(0&gt;AM11,(IF(0&gt;AM11,AM11/-1,AM11)/AG11)/-1,(IF(0&gt;AM11,AM11/-1,AM11)/AG11)),0)</f>
        <v>0.42323431268445</v>
      </c>
      <c r="AQ11" s="4" t="s">
        <v>33</v>
      </c>
      <c r="AR11" s="20"/>
      <c r="AS11" s="203">
        <f>(BDER_sig!D11+BDER_sig!D33+BDER_sig!D55+BDER_sig!D77+BDER_sig!D99+BDER_sig!D121)/1000</f>
        <v>0</v>
      </c>
      <c r="AT11" s="8">
        <f>(BDER_sig!D474+BDER_sig!D497+BDER_sig!D564+BDER_sig!D609)/1000</f>
        <v>75.515</v>
      </c>
      <c r="AU11" s="203">
        <f>(BDER_sig!D519+BDER_sig!D541+BDER_sig!D586+BDER_sig!D631+BDER_sig!D653)/1000</f>
        <v>56.417</v>
      </c>
      <c r="AV11" s="203">
        <f>(BDER_sig!D297+BDER_sig!D319+BDER_sig!D341+BDER_sig!D363)/1000</f>
        <v>10285.432</v>
      </c>
      <c r="AW11" s="203">
        <f>(BDER_sig!D429+BDER_sig!D451)/1000</f>
        <v>4605.759</v>
      </c>
      <c r="AX11" s="20">
        <f>SUM(AR11:AW11)</f>
        <v>15023.123</v>
      </c>
      <c r="AZ11" s="344" t="s">
        <v>33</v>
      </c>
      <c r="BA11" s="360">
        <f>BY36</f>
        <v>0</v>
      </c>
      <c r="BB11" s="355" t="str">
        <f>IF(BA$3=0,"N.D.",BA11/BA$3)</f>
        <v>N.D.</v>
      </c>
      <c r="BC11" s="360">
        <f>AX11</f>
        <v>15023.123</v>
      </c>
      <c r="BD11" s="355">
        <f>IF(BC$3=0,"N.D.",BC11/BC$3)</f>
        <v>0.17649595900637</v>
      </c>
      <c r="BE11" s="360">
        <f>AX36</f>
        <v>11468.73814</v>
      </c>
      <c r="BF11" s="355">
        <f>IF(BE$3=0,"N.D.",BE11/BE$3)</f>
        <v>0.07547669495419</v>
      </c>
      <c r="BG11" s="354">
        <f>+BA11-BC11</f>
        <v>-15023.123</v>
      </c>
      <c r="BH11" s="356">
        <f>IF(BC11=0,"N.D.",BA11/BC11-1)</f>
        <v>-1</v>
      </c>
      <c r="BI11" s="354">
        <f>+BA11-BE11</f>
        <v>-11468.73814</v>
      </c>
      <c r="BJ11" s="356">
        <f>IF(BE11=0, "N.D.",BA11/BE11-1)</f>
        <v>-1</v>
      </c>
      <c r="BL11" s="344" t="s">
        <v>33</v>
      </c>
      <c r="BM11" s="354"/>
      <c r="BN11" s="355" t="str">
        <f>IF(BM$3=0,"N.D.",BM11/BM$3)</f>
        <v>0</v>
      </c>
      <c r="BO11" s="354">
        <f>BO5-BO10</f>
        <v>0</v>
      </c>
      <c r="BP11" s="355" t="str">
        <f>IF(BO$3=0,"N.D.",BO11/BO$3)</f>
        <v>N.D.</v>
      </c>
      <c r="BQ11" s="354">
        <f>BQ5-BQ10</f>
        <v>0</v>
      </c>
      <c r="BR11" s="355" t="str">
        <f>IF(BQ$3=0,"N.D.",BQ11/BQ$3)</f>
        <v>N.D.</v>
      </c>
      <c r="BS11" s="354">
        <f>BS5-BS10</f>
        <v>0</v>
      </c>
      <c r="BT11" s="355" t="str">
        <f>IF(BS$3=0,"N.D.",BS11/BS$3)</f>
        <v>N.D.</v>
      </c>
      <c r="BU11" s="354">
        <f>BU5-BU10</f>
        <v>0</v>
      </c>
      <c r="BV11" s="355" t="str">
        <f>IF(BU$3=0,"N.D.",BU11/BU$3)</f>
        <v>N.D.</v>
      </c>
      <c r="BW11" s="354">
        <f>BW5-BW10</f>
        <v>0</v>
      </c>
      <c r="BX11" s="355" t="str">
        <f>IF(BW$3=0,"N.D.",BW11/BW$3)</f>
        <v>N.D.</v>
      </c>
      <c r="BY11" s="354">
        <f>BM11+BO11+BQ11+BS11+BU11+BW11</f>
        <v>0</v>
      </c>
      <c r="BZ11" s="355" t="str">
        <f>IF(BY$3=0,"N.D.",BY11/BY$3)</f>
        <v>N.D.</v>
      </c>
    </row>
    <row r="12" spans="1:78">
      <c r="B12" s="4" t="s">
        <v>33</v>
      </c>
      <c r="C12" s="14"/>
      <c r="D12" s="311"/>
      <c r="E12" s="316"/>
      <c r="F12" s="14">
        <f>TablasER!E16-TablasER!U12</f>
        <v>6360.01643</v>
      </c>
      <c r="G12" s="311">
        <f>IFERROR(F12/TablasER!U12,0)</f>
        <v>0</v>
      </c>
      <c r="H12" s="316"/>
      <c r="I12" s="214">
        <f>TablasER!G16-TablasER!W12</f>
        <v>2732.01957972</v>
      </c>
      <c r="J12" s="311">
        <f>IFERROR(I12/TablasER!W12,0)</f>
        <v>-2.9376650066329</v>
      </c>
      <c r="K12" s="316"/>
      <c r="L12" s="214">
        <f>TablasER!I16-TablasER!Y12</f>
        <v>-114.261221088</v>
      </c>
      <c r="M12" s="311">
        <f>IFERROR(L12/TablasER!Y12,0)</f>
        <v>-0.09915509767099</v>
      </c>
      <c r="N12" s="316"/>
      <c r="O12" s="214">
        <f>TablasER!K16-TablasER!AA12</f>
        <v>-8466.88379</v>
      </c>
      <c r="P12" s="311">
        <f>IFERROR(O12/TablasER!AA12,0)</f>
        <v>-0.47276218630079</v>
      </c>
      <c r="Q12" s="316"/>
      <c r="R12" s="214">
        <f>TablasER!M16-TablasER!AC12</f>
        <v>18.21432</v>
      </c>
      <c r="S12" s="311">
        <f>IFERROR(R12/TablasER!AC12,0)</f>
        <v>0.0063892273920245</v>
      </c>
      <c r="T12" s="316"/>
      <c r="U12" s="214">
        <f>TablasER!O16-TablasER!AE12</f>
        <v>529.10531863202</v>
      </c>
      <c r="V12" s="43">
        <f>IFERROR(U12/TablasER!AE12,0)</f>
        <v>0.025216468521877</v>
      </c>
      <c r="Y12" s="331" t="s">
        <v>33</v>
      </c>
      <c r="AA12" s="247">
        <f>AA6-AA11</f>
        <v>21511.635769832</v>
      </c>
      <c r="AB12" s="336">
        <f>IF($AA$4=0,"N.D.",AA12/$AA$4)</f>
        <v>0.080514571429405</v>
      </c>
      <c r="AD12" s="247">
        <f>AD6-AD11</f>
        <v>0</v>
      </c>
      <c r="AE12" s="336" t="str">
        <f>IF($AD$4=0,"N.D.",AD12/$AD$4)</f>
        <v>N.D.</v>
      </c>
      <c r="AG12" s="247">
        <f>TablasER!BA12</f>
        <v>20982.5304512</v>
      </c>
      <c r="AH12" s="336">
        <f>IF($AG$4=0,"N.D.",AG12/$AG$4)</f>
        <v>0.11540622956804</v>
      </c>
      <c r="AJ12" s="239">
        <f>AA12-AD12</f>
        <v>21511.635769832</v>
      </c>
      <c r="AK12" s="336">
        <f>IFERROR(IF(0&gt;AJ12,(IF(0&gt;AJ12,AJ12/-1,AJ12)/AD12)/-1,(IF(0&gt;AJ12,AJ12/-1,AJ12)/AD12)),0)</f>
        <v>0</v>
      </c>
      <c r="AM12" s="239">
        <f>AA12-AG12</f>
        <v>529.10531863201</v>
      </c>
      <c r="AN12" s="336">
        <f>IFERROR(IF(0&gt;AM12,(IF(0&gt;AM12,AM12/-1,AM12)/AG12)/-1,(IF(0&gt;AM12,AM12/-1,AM12)/AG12)),0)</f>
        <v>0.025216468521877</v>
      </c>
      <c r="AQ12" s="1"/>
      <c r="AS12" s="307"/>
      <c r="AT12" s="307"/>
      <c r="AU12" s="307"/>
      <c r="AV12" s="307"/>
      <c r="AW12" s="307"/>
      <c r="AX12" s="30"/>
      <c r="AZ12" s="341"/>
      <c r="BA12" s="357"/>
      <c r="BB12" s="358"/>
      <c r="BC12" s="357"/>
      <c r="BD12" s="358"/>
      <c r="BE12" s="357"/>
      <c r="BF12" s="358"/>
      <c r="BG12" s="357"/>
      <c r="BH12" s="359"/>
      <c r="BI12" s="357"/>
      <c r="BJ12" s="359"/>
      <c r="BL12" s="347"/>
      <c r="BM12" s="357"/>
      <c r="BN12" s="358"/>
      <c r="BO12" s="357"/>
      <c r="BP12" s="358"/>
      <c r="BQ12" s="357"/>
      <c r="BR12" s="358"/>
      <c r="BS12" s="357"/>
      <c r="BT12" s="358"/>
      <c r="BU12" s="357"/>
      <c r="BV12" s="358"/>
      <c r="BW12" s="357"/>
      <c r="BX12" s="358"/>
      <c r="BY12" s="357"/>
      <c r="BZ12" s="358"/>
    </row>
    <row r="13" spans="1:78" s="307" customFormat="1">
      <c r="B13" s="1"/>
      <c r="C13" s="30"/>
      <c r="D13" s="44"/>
      <c r="E13" s="44"/>
      <c r="F13" s="30"/>
      <c r="G13" s="44"/>
      <c r="H13" s="44"/>
      <c r="I13" s="30"/>
      <c r="J13" s="44"/>
      <c r="K13" s="44"/>
      <c r="L13" s="30"/>
      <c r="M13" s="44"/>
      <c r="N13" s="44"/>
      <c r="O13" s="30"/>
      <c r="P13" s="44"/>
      <c r="Q13" s="44"/>
      <c r="R13" s="30"/>
      <c r="S13" s="44"/>
      <c r="T13" s="44"/>
      <c r="U13" s="30"/>
      <c r="V13" s="44"/>
      <c r="Y13" s="331"/>
      <c r="Z13" s="307"/>
      <c r="AA13" s="243"/>
      <c r="AB13" s="337"/>
      <c r="AC13" s="307"/>
      <c r="AD13" s="243"/>
      <c r="AE13" s="337"/>
      <c r="AF13" s="307"/>
      <c r="AG13" s="243"/>
      <c r="AH13" s="337"/>
      <c r="AI13" s="307"/>
      <c r="AJ13" s="243"/>
      <c r="AK13" s="337"/>
      <c r="AL13" s="307"/>
      <c r="AM13" s="243"/>
      <c r="AN13" s="337"/>
      <c r="AQ13" s="7" t="s">
        <v>36</v>
      </c>
      <c r="AR13" s="34"/>
      <c r="AS13" s="203">
        <f>(BDER_sig!D12+BDER_sig!D34+BDER_sig!D56+BDER_sig!D78+BDER_sig!D100+BDER_sig!D122)/1000</f>
        <v>0</v>
      </c>
      <c r="AT13" s="8">
        <f>(BDER_sig!D475+BDER_sig!D498+BDER_sig!D565+BDER_sig!D610)/1000</f>
        <v>0</v>
      </c>
      <c r="AU13" s="203">
        <f>(BDER_sig!D520+BDER_sig!D542+BDER_sig!D587+BDER_sig!D632+BDER_sig!D654)/1000</f>
        <v>0</v>
      </c>
      <c r="AV13" s="203">
        <f>(BDER_sig!D298+BDER_sig!D320+BDER_sig!D342+BDER_sig!D364)/1000</f>
        <v>0</v>
      </c>
      <c r="AW13" s="203">
        <f>(BDER_sig!D430+BDER_sig!D452)/1000</f>
        <v>-87</v>
      </c>
      <c r="AX13" s="8">
        <f>SUM(AR13:AW13)</f>
        <v>-87</v>
      </c>
      <c r="AZ13" s="347" t="s">
        <v>36</v>
      </c>
      <c r="BA13" s="348">
        <f>BY38</f>
        <v>0</v>
      </c>
      <c r="BB13" s="349" t="str">
        <f>IF(BA$3=0,"N.D.",BA13/BA$3)</f>
        <v>N.D.</v>
      </c>
      <c r="BC13" s="348">
        <f>AX13</f>
        <v>-87</v>
      </c>
      <c r="BD13" s="349">
        <f>IF(BC$3=0,"N.D.",BC13/BC$3)</f>
        <v>-0.0010221009595378</v>
      </c>
      <c r="BE13" s="348">
        <f>AX38</f>
        <v>564.74418</v>
      </c>
      <c r="BF13" s="349">
        <f>IF(BE$3=0,"N.D.",BE13/BE$3)</f>
        <v>0.003716627206994</v>
      </c>
      <c r="BG13" s="348">
        <f>+BA13-BC13</f>
        <v>87</v>
      </c>
      <c r="BH13" s="350">
        <f>IF(BC13=0,"N.D.",BA13/BC13-1)</f>
        <v>-1</v>
      </c>
      <c r="BI13" s="348">
        <f>+BA13-BE13</f>
        <v>-564.74418</v>
      </c>
      <c r="BJ13" s="350">
        <f>IF(BE13=0, "N.D.",BA13/BE13-1)</f>
        <v>-1</v>
      </c>
      <c r="BL13" s="347" t="s">
        <v>36</v>
      </c>
      <c r="BM13" s="348"/>
      <c r="BN13" s="349" t="str">
        <f>IF(BM$3=0,"N.D.",BM13/BM$3)</f>
        <v>0</v>
      </c>
      <c r="BO13" s="348">
        <f>proyeccion!B8</f>
        <v>0</v>
      </c>
      <c r="BP13" s="349" t="str">
        <f>IF(BO$3=0,"N.D.",BO13/BO$3)</f>
        <v>N.D.</v>
      </c>
      <c r="BQ13" s="348">
        <f>proyeccion!G8*TC_PROY</f>
        <v>0</v>
      </c>
      <c r="BR13" s="349" t="str">
        <f>IF(BQ$3=0,"N.D.",BQ13/BQ$3)</f>
        <v>N.D.</v>
      </c>
      <c r="BS13" s="348">
        <f>proyeccion!H8*TC_PROY</f>
        <v>0</v>
      </c>
      <c r="BT13" s="349" t="str">
        <f>IF(BS$3=0,"N.D.",BS13/BS$3)</f>
        <v>N.D.</v>
      </c>
      <c r="BU13" s="348">
        <f>proyeccion!E8</f>
        <v>0</v>
      </c>
      <c r="BV13" s="349" t="str">
        <f>IF(BU$3=0,"N.D.",BU13/BU$3)</f>
        <v>N.D.</v>
      </c>
      <c r="BW13" s="348">
        <f>proyeccion!F8</f>
        <v>0</v>
      </c>
      <c r="BX13" s="349" t="str">
        <f>IF(BW$3=0,"N.D.",BW13/BW$3)</f>
        <v>N.D.</v>
      </c>
      <c r="BY13" s="348">
        <f>BM13+BO13+BQ13+BS13+BU13+BW13</f>
        <v>0</v>
      </c>
      <c r="BZ13" s="349" t="str">
        <f>IF(BY$3=0,"N.D.",BY13/BY$3)</f>
        <v>N.D.</v>
      </c>
    </row>
    <row r="14" spans="1:78">
      <c r="B14" s="7" t="s">
        <v>36</v>
      </c>
      <c r="C14" s="8"/>
      <c r="D14" s="313"/>
      <c r="E14" s="302"/>
      <c r="F14" s="8">
        <f>TablasER!E18-TablasER!U14</f>
        <v>166.32413</v>
      </c>
      <c r="G14" s="313">
        <f>IFERROR(F14/TablasER!U14,0)</f>
        <v>0</v>
      </c>
      <c r="H14" s="302"/>
      <c r="I14" s="204">
        <f>TablasER!G18-TablasER!W14</f>
        <v>0</v>
      </c>
      <c r="J14" s="313">
        <f>IFERROR(I14/TablasER!W14,0)</f>
        <v>0</v>
      </c>
      <c r="K14" s="302"/>
      <c r="L14" s="204">
        <f>TablasER!I18-TablasER!Y14</f>
        <v>0</v>
      </c>
      <c r="M14" s="313">
        <f>IFERROR(L14/TablasER!Y14,0)</f>
        <v>0</v>
      </c>
      <c r="N14" s="302"/>
      <c r="O14" s="204">
        <f>TablasER!K18-TablasER!AA14</f>
        <v>3473.64723</v>
      </c>
      <c r="P14" s="313">
        <f>IFERROR(O14/TablasER!AA14,0)</f>
        <v>-1.277587222389</v>
      </c>
      <c r="Q14" s="302"/>
      <c r="R14" s="204">
        <f>TablasER!M18-TablasER!AC14</f>
        <v>104.21902</v>
      </c>
      <c r="S14" s="313">
        <f>IFERROR(R14/TablasER!AC14,0)</f>
        <v>-1.1979197701149</v>
      </c>
      <c r="T14" s="302"/>
      <c r="U14" s="204">
        <f>TablasER!O18-TablasER!AE14</f>
        <v>3744.19038</v>
      </c>
      <c r="V14" s="137">
        <f>IFERROR(U14/TablasER!AE14,0)</f>
        <v>-1.3343933737052</v>
      </c>
      <c r="Y14" s="328" t="s">
        <v>36</v>
      </c>
      <c r="AA14" s="241">
        <f>TablasER!AY14</f>
        <v>938.27838</v>
      </c>
      <c r="AB14" s="329">
        <f>IF($AA$4=0,"N.D.",AA14/$AA$4)</f>
        <v>0.0035118241334823</v>
      </c>
      <c r="AD14" s="241">
        <f>BY13</f>
        <v>0</v>
      </c>
      <c r="AE14" s="329" t="str">
        <f>IF($AD$4=0,"N.D.",AD14/$AD$4)</f>
        <v>N.D.</v>
      </c>
      <c r="AG14" s="241">
        <f>TablasER!BA14</f>
        <v>-2805.912</v>
      </c>
      <c r="AH14" s="329">
        <f>IF($AG$4=0,"N.D.",AG14/$AG$4)</f>
        <v>-0.015432825186306</v>
      </c>
      <c r="AJ14" s="241">
        <f>AA14-AD14</f>
        <v>938.27838</v>
      </c>
      <c r="AK14" s="329">
        <f>IFERROR(IF(0&gt;AJ14,(IF(0&gt;AJ14,AJ14/-1,AJ14)/AD14)/-1,(IF(0&gt;AJ14,AJ14/-1,AJ14)/AD14)),0)</f>
        <v>0</v>
      </c>
      <c r="AM14" s="241">
        <f>AA14-AG14</f>
        <v>3744.19038</v>
      </c>
      <c r="AN14" s="329">
        <f>IFERROR(IF(0&gt;AM14,(IF(0&gt;AM14,AM14/-1,AM14)/AG14)/-1,(IF(0&gt;AM14,AM14/-1,AM14)/AG14)),0)</f>
        <v>-1.3343933737052</v>
      </c>
      <c r="AQ14" s="7" t="s">
        <v>38</v>
      </c>
      <c r="AR14" s="8"/>
      <c r="AS14" s="203">
        <f>(BDER_sig!D13+BDER_sig!D35+BDER_sig!D57+BDER_sig!D79+BDER_sig!D101+BDER_sig!D123)/1000</f>
        <v>0</v>
      </c>
      <c r="AT14" s="8">
        <f>(BDER_sig!D476+BDER_sig!D499+BDER_sig!D566+BDER_sig!D611)/1000</f>
        <v>-10.44</v>
      </c>
      <c r="AU14" s="203">
        <f>(BDER_sig!D521+BDER_sig!D543+BDER_sig!D588+BDER_sig!D633+BDER_sig!D655)/1000</f>
        <v>0</v>
      </c>
      <c r="AV14" s="203">
        <f>(BDER_sig!D299+BDER_sig!D321+BDER_sig!D343+BDER_sig!D365)/1000</f>
        <v>0</v>
      </c>
      <c r="AW14" s="203">
        <f>(BDER_sig!D431+BDER_sig!D453)/1000</f>
        <v>0</v>
      </c>
      <c r="AX14" s="11">
        <f>SUM(AR14:AW14)</f>
        <v>-10.44</v>
      </c>
      <c r="AZ14" s="347" t="s">
        <v>38</v>
      </c>
      <c r="BA14" s="351">
        <f>BY39</f>
        <v>0</v>
      </c>
      <c r="BB14" s="352" t="str">
        <f>IF(BA$3=0,"N.D.",BA14/BA$3)</f>
        <v>N.D.</v>
      </c>
      <c r="BC14" s="351">
        <f>AX14</f>
        <v>-10.44</v>
      </c>
      <c r="BD14" s="352">
        <f>IF(BC$3=0,"N.D.",BC14/BC$3)</f>
        <v>-0.00012265211514454</v>
      </c>
      <c r="BE14" s="351">
        <f>AX39</f>
        <v>-4370.30385</v>
      </c>
      <c r="BF14" s="352">
        <f>IF(BE$3=0,"N.D.",BE14/BE$3)</f>
        <v>-0.02876132374085</v>
      </c>
      <c r="BG14" s="351">
        <f>+BA14-BC14</f>
        <v>10.44</v>
      </c>
      <c r="BH14" s="353">
        <f>IF(BC14=0,"N.D.",BA14/BC14-1)</f>
        <v>-1</v>
      </c>
      <c r="BI14" s="351">
        <f>+BA14-BE14</f>
        <v>4370.30385</v>
      </c>
      <c r="BJ14" s="353">
        <f>IF(BE14=0, "N.D.",BA14/BE14-1)</f>
        <v>-1</v>
      </c>
      <c r="BL14" s="347" t="s">
        <v>38</v>
      </c>
      <c r="BM14" s="351"/>
      <c r="BN14" s="352" t="str">
        <f>IF(BM$3=0,"N.D.",BM14/BM$3)</f>
        <v>0</v>
      </c>
      <c r="BO14" s="351">
        <f>proyeccion!B9</f>
        <v>0</v>
      </c>
      <c r="BP14" s="352" t="str">
        <f>IF(BO$3=0,"N.D.",BO14/BO$3)</f>
        <v>N.D.</v>
      </c>
      <c r="BQ14" s="351">
        <f>proyeccion!G9*TC_PROY</f>
        <v>0</v>
      </c>
      <c r="BR14" s="352" t="str">
        <f>IF(BQ$3=0,"N.D.",BQ14/BQ$3)</f>
        <v>N.D.</v>
      </c>
      <c r="BS14" s="351">
        <f>proyeccion!H9*TC_PROY</f>
        <v>0</v>
      </c>
      <c r="BT14" s="352" t="str">
        <f>IF(BS$3=0,"N.D.",BS14/BS$3)</f>
        <v>N.D.</v>
      </c>
      <c r="BU14" s="351">
        <f>proyeccion!E9</f>
        <v>0</v>
      </c>
      <c r="BV14" s="352" t="str">
        <f>IF(BU$3=0,"N.D.",BU14/BU$3)</f>
        <v>N.D.</v>
      </c>
      <c r="BW14" s="351">
        <f>proyeccion!F9</f>
        <v>0</v>
      </c>
      <c r="BX14" s="352" t="str">
        <f>IF(BW$3=0,"N.D.",BW14/BW$3)</f>
        <v>N.D.</v>
      </c>
      <c r="BY14" s="351">
        <f>BM14+BO14+BQ14+BS14+BU14+BW14</f>
        <v>0</v>
      </c>
      <c r="BZ14" s="352" t="str">
        <f>IF(BY$3=0,"N.D.",BY14/BY$3)</f>
        <v>N.D.</v>
      </c>
    </row>
    <row r="15" spans="1:78">
      <c r="B15" s="7" t="s">
        <v>38</v>
      </c>
      <c r="C15" s="11"/>
      <c r="D15" s="304"/>
      <c r="E15" s="302"/>
      <c r="F15" s="11">
        <f>TablasER!E19-TablasER!U15</f>
        <v>-250.72368</v>
      </c>
      <c r="G15" s="304">
        <f>IFERROR(F15/TablasER!U15,0)</f>
        <v>0</v>
      </c>
      <c r="H15" s="302"/>
      <c r="I15" s="206">
        <f>TablasER!G19-TablasER!W15</f>
        <v>6.203552904</v>
      </c>
      <c r="J15" s="304">
        <f>IFERROR(I15/TablasER!W15,0)</f>
        <v>-0.029380268199234</v>
      </c>
      <c r="K15" s="302"/>
      <c r="L15" s="206">
        <f>TablasER!I19-TablasER!Y15</f>
        <v>0</v>
      </c>
      <c r="M15" s="304">
        <f>IFERROR(L15/TablasER!Y15,0)</f>
        <v>0</v>
      </c>
      <c r="N15" s="302"/>
      <c r="O15" s="206">
        <f>TablasER!K19-TablasER!AA15</f>
        <v>-1365.88741</v>
      </c>
      <c r="P15" s="304">
        <f>IFERROR(O15/TablasER!AA15,0)</f>
        <v>0</v>
      </c>
      <c r="Q15" s="302"/>
      <c r="R15" s="206">
        <f>TablasER!M19-TablasER!AC15</f>
        <v>-8.27559</v>
      </c>
      <c r="S15" s="304">
        <f>IFERROR(R15/TablasER!AC15,0)</f>
        <v>0</v>
      </c>
      <c r="T15" s="302"/>
      <c r="U15" s="206">
        <f>TablasER!O19-TablasER!AE15</f>
        <v>-1618.683127096</v>
      </c>
      <c r="V15" s="302">
        <f>IFERROR(U15/TablasER!AE15,0)</f>
        <v>7.6661463422018</v>
      </c>
      <c r="Y15" s="328" t="s">
        <v>38</v>
      </c>
      <c r="AA15" s="242">
        <f>TablasER!AY15</f>
        <v>-1829.830039096</v>
      </c>
      <c r="AB15" s="330">
        <f>IF($AA$4=0,"N.D.",AA15/$AA$4)</f>
        <v>-0.0068487577124692</v>
      </c>
      <c r="AD15" s="242">
        <f>BY14</f>
        <v>0</v>
      </c>
      <c r="AE15" s="330" t="str">
        <f>IF($AD$4=0,"N.D.",AD15/$AD$4)</f>
        <v>N.D.</v>
      </c>
      <c r="AG15" s="242">
        <f>TablasER!BA15</f>
        <v>-211.146912</v>
      </c>
      <c r="AH15" s="330">
        <f>IF($AG$4=0,"N.D.",AG15/$AG$4)</f>
        <v>-0.0011613312824937</v>
      </c>
      <c r="AJ15" s="242">
        <f>AA15-AD15</f>
        <v>-1829.830039096</v>
      </c>
      <c r="AK15" s="330">
        <f>IFERROR(IF(0&gt;AJ15,(IF(0&gt;AJ15,AJ15/-1,AJ15)/AD15)/-1,(IF(0&gt;AJ15,AJ15/-1,AJ15)/AD15)),0)</f>
        <v>0</v>
      </c>
      <c r="AM15" s="242">
        <f>AA15-AG15</f>
        <v>-1618.683127096</v>
      </c>
      <c r="AN15" s="330">
        <f>IFERROR(IF(0&gt;AM15,(IF(0&gt;AM15,AM15/-1,AM15)/AG15)/-1,(IF(0&gt;AM15,AM15/-1,AM15)/AG15)),0)</f>
        <v>7.6661463422018</v>
      </c>
      <c r="AQ15" s="7" t="s">
        <v>39</v>
      </c>
      <c r="AR15" s="8"/>
      <c r="AS15" s="203">
        <f>(BDER_sig!D14+BDER_sig!D36+BDER_sig!D58+BDER_sig!D80+BDER_sig!D102+BDER_sig!D124)/1000</f>
        <v>0</v>
      </c>
      <c r="AT15" s="8">
        <f>(BDER_sig!D477+BDER_sig!D500+BDER_sig!D567+BDER_sig!D612)/1000</f>
        <v>0.247</v>
      </c>
      <c r="AU15" s="203">
        <f>(BDER_sig!D522+BDER_sig!D544+BDER_sig!D589+BDER_sig!D634+BDER_sig!D656)/1000</f>
        <v>8.7</v>
      </c>
      <c r="AV15" s="203">
        <f>(BDER_sig!D300+BDER_sig!D322+BDER_sig!D344+BDER_sig!D366)/1000</f>
        <v>125.19</v>
      </c>
      <c r="AW15" s="203">
        <f>(BDER_sig!D432+BDER_sig!D454)/1000</f>
        <v>6.168</v>
      </c>
      <c r="AX15" s="11">
        <f>SUM(AR15:AW15)</f>
        <v>140.305</v>
      </c>
      <c r="AZ15" s="347" t="s">
        <v>39</v>
      </c>
      <c r="BA15" s="351">
        <f>BY40</f>
        <v>0</v>
      </c>
      <c r="BB15" s="352" t="str">
        <f>IF(BA$3=0,"N.D.",BA15/BA$3)</f>
        <v>N.D.</v>
      </c>
      <c r="BC15" s="351">
        <f>AX15</f>
        <v>140.305</v>
      </c>
      <c r="BD15" s="352">
        <f>IF(BC$3=0,"N.D.",BC15/BC$3)</f>
        <v>0.0016483433922753</v>
      </c>
      <c r="BE15" s="351">
        <f>AX40</f>
        <v>661.23919</v>
      </c>
      <c r="BF15" s="352">
        <f>IF(BE$3=0,"N.D.",BE15/BE$3)</f>
        <v>0.0043516686863151</v>
      </c>
      <c r="BG15" s="351">
        <f>+BA15-BC15</f>
        <v>-140.305</v>
      </c>
      <c r="BH15" s="353">
        <f>IF(BC15=0,"N.D.",BA15/BC15-1)</f>
        <v>-1</v>
      </c>
      <c r="BI15" s="351">
        <f>+BA15-BE15</f>
        <v>-661.23919</v>
      </c>
      <c r="BJ15" s="353">
        <f>IF(BE15=0, "N.D.",BA15/BE15-1)</f>
        <v>-1</v>
      </c>
      <c r="BL15" s="347" t="s">
        <v>39</v>
      </c>
      <c r="BM15" s="351"/>
      <c r="BN15" s="352" t="str">
        <f>IF(BM$3=0,"N.D.",BM15/BM$3)</f>
        <v>0</v>
      </c>
      <c r="BO15" s="351">
        <f>proyeccion!B10</f>
        <v>0</v>
      </c>
      <c r="BP15" s="352" t="str">
        <f>IF(BO$3=0,"N.D.",BO15/BO$3)</f>
        <v>N.D.</v>
      </c>
      <c r="BQ15" s="351">
        <f>proyeccion!G10*TC_PROY</f>
        <v>0</v>
      </c>
      <c r="BR15" s="352" t="str">
        <f>IF(BQ$3=0,"N.D.",BQ15/BQ$3)</f>
        <v>N.D.</v>
      </c>
      <c r="BS15" s="351">
        <f>proyeccion!H10*TC_PROY</f>
        <v>0</v>
      </c>
      <c r="BT15" s="352" t="str">
        <f>IF(BS$3=0,"N.D.",BS15/BS$3)</f>
        <v>N.D.</v>
      </c>
      <c r="BU15" s="351">
        <f>proyeccion!E10</f>
        <v>0</v>
      </c>
      <c r="BV15" s="352" t="str">
        <f>IF(BU$3=0,"N.D.",BU15/BU$3)</f>
        <v>N.D.</v>
      </c>
      <c r="BW15" s="351">
        <f>proyeccion!F10</f>
        <v>0</v>
      </c>
      <c r="BX15" s="352" t="str">
        <f>IF(BW$3=0,"N.D.",BW15/BW$3)</f>
        <v>N.D.</v>
      </c>
      <c r="BY15" s="351">
        <f>BM15+BO15+BQ15+BS15+BU15+BW15</f>
        <v>0</v>
      </c>
      <c r="BZ15" s="352" t="str">
        <f>IF(BY$3=0,"N.D.",BY15/BY$3)</f>
        <v>N.D.</v>
      </c>
    </row>
    <row r="16" spans="1:78">
      <c r="B16" s="7" t="s">
        <v>39</v>
      </c>
      <c r="C16" s="11"/>
      <c r="D16" s="304"/>
      <c r="E16" s="302"/>
      <c r="F16" s="11">
        <f>TablasER!E20-TablasER!U16</f>
        <v>909.17223</v>
      </c>
      <c r="G16" s="304">
        <f>IFERROR(F16/TablasER!U16,0)</f>
        <v>0</v>
      </c>
      <c r="H16" s="302"/>
      <c r="I16" s="206">
        <f>TablasER!G20-TablasER!W16</f>
        <v>0</v>
      </c>
      <c r="J16" s="304">
        <f>IFERROR(I16/TablasER!W16,0)</f>
        <v>0</v>
      </c>
      <c r="K16" s="302"/>
      <c r="L16" s="206">
        <f>TablasER!I20-TablasER!Y16</f>
        <v>63.911176992</v>
      </c>
      <c r="M16" s="304">
        <f>IFERROR(L16/TablasER!Y16,0)</f>
        <v>0.36322298850575</v>
      </c>
      <c r="N16" s="302"/>
      <c r="O16" s="206">
        <f>TablasER!K20-TablasER!AA16</f>
        <v>-83.06784</v>
      </c>
      <c r="P16" s="304">
        <f>IFERROR(O16/TablasER!AA16,0)</f>
        <v>-0.28854722230906</v>
      </c>
      <c r="Q16" s="302"/>
      <c r="R16" s="206">
        <f>TablasER!M20-TablasER!AC16</f>
        <v>-0.70849</v>
      </c>
      <c r="S16" s="304">
        <f>IFERROR(R16/TablasER!AC16,0)</f>
        <v>-0.141698</v>
      </c>
      <c r="T16" s="302"/>
      <c r="U16" s="206">
        <f>TablasER!O20-TablasER!AE16</f>
        <v>890.307076992</v>
      </c>
      <c r="V16" s="302">
        <f>IFERROR(U16/TablasER!AE16,0)</f>
        <v>1.8989621868977</v>
      </c>
      <c r="Y16" s="328" t="s">
        <v>39</v>
      </c>
      <c r="AA16" s="242">
        <f>TablasER!AY16</f>
        <v>1359.145836992</v>
      </c>
      <c r="AB16" s="330">
        <f>IF($AA$4=0,"N.D.",AA16/$AA$4)</f>
        <v>0.0050870629154542</v>
      </c>
      <c r="AD16" s="242">
        <f>BY15</f>
        <v>0</v>
      </c>
      <c r="AE16" s="330" t="str">
        <f>IF($AD$4=0,"N.D.",AD16/$AD$4)</f>
        <v>N.D.</v>
      </c>
      <c r="AG16" s="242">
        <f>TablasER!BA16</f>
        <v>468.83876</v>
      </c>
      <c r="AH16" s="330">
        <f>IF($AG$4=0,"N.D.",AG16/$AG$4)</f>
        <v>0.0025786648418214</v>
      </c>
      <c r="AJ16" s="242">
        <f>AA16-AD16</f>
        <v>1359.145836992</v>
      </c>
      <c r="AK16" s="330">
        <f>IFERROR(IF(0&gt;AJ16,(IF(0&gt;AJ16,AJ16/-1,AJ16)/AD16)/-1,(IF(0&gt;AJ16,AJ16/-1,AJ16)/AD16)),0)</f>
        <v>0</v>
      </c>
      <c r="AM16" s="242">
        <f>AA16-AG16</f>
        <v>890.307076992</v>
      </c>
      <c r="AN16" s="330">
        <f>IFERROR(IF(0&gt;AM16,(IF(0&gt;AM16,AM16/-1,AM16)/AG16)/-1,(IF(0&gt;AM16,AM16/-1,AM16)/AG16)),0)</f>
        <v>1.8989621868977</v>
      </c>
      <c r="AQ16" s="7" t="s">
        <v>40</v>
      </c>
      <c r="AR16" s="8"/>
      <c r="AS16" s="203">
        <f>(BDER_sig!D15+BDER_sig!D37+BDER_sig!D59+BDER_sig!D81+BDER_sig!D103+BDER_sig!D125)/1000</f>
        <v>0</v>
      </c>
      <c r="AT16" s="8">
        <f>(BDER_sig!D478+BDER_sig!D501+BDER_sig!D568+BDER_sig!D613)/1000</f>
        <v>0</v>
      </c>
      <c r="AU16" s="203">
        <f>(BDER_sig!D523+BDER_sig!D545+BDER_sig!D590+BDER_sig!D635+BDER_sig!D657)/1000</f>
        <v>0</v>
      </c>
      <c r="AV16" s="203">
        <f>(BDER_sig!D301+BDER_sig!D323+BDER_sig!D345+BDER_sig!D367)/1000</f>
        <v>28.211</v>
      </c>
      <c r="AW16" s="203">
        <f>(BDER_sig!D433+BDER_sig!D455)/1000</f>
        <v>495</v>
      </c>
      <c r="AX16" s="11">
        <f>SUM(AR16:AW16)</f>
        <v>523.211</v>
      </c>
      <c r="AZ16" s="347" t="s">
        <v>40</v>
      </c>
      <c r="BA16" s="351">
        <f>BY41</f>
        <v>0</v>
      </c>
      <c r="BB16" s="352" t="str">
        <f>IF(BA$3=0,"N.D.",BA16/BA$3)</f>
        <v>N.D.</v>
      </c>
      <c r="BC16" s="351">
        <f>AX16</f>
        <v>523.211</v>
      </c>
      <c r="BD16" s="352">
        <f>IF(BC$3=0,"N.D.",BC16/BC$3)</f>
        <v>0.0061468329326521</v>
      </c>
      <c r="BE16" s="351">
        <f>AX41</f>
        <v>407.80991</v>
      </c>
      <c r="BF16" s="352">
        <f>IF(BE$3=0,"N.D.",BE16/BE$3)</f>
        <v>0.0026838300605201</v>
      </c>
      <c r="BG16" s="351">
        <f>+BA16-BC16</f>
        <v>-523.211</v>
      </c>
      <c r="BH16" s="353">
        <f>IF(BC16=0,"N.D.",BA16/BC16-1)</f>
        <v>-1</v>
      </c>
      <c r="BI16" s="351">
        <f>+BA16-BE16</f>
        <v>-407.80991</v>
      </c>
      <c r="BJ16" s="353">
        <f>IF(BE16=0, "N.D.",BA16/BE16-1)</f>
        <v>-1</v>
      </c>
      <c r="BL16" s="347" t="s">
        <v>40</v>
      </c>
      <c r="BM16" s="351"/>
      <c r="BN16" s="352" t="str">
        <f>IF(BM$3=0,"N.D.",BM16/BM$3)</f>
        <v>0</v>
      </c>
      <c r="BO16" s="351">
        <f>proyeccion!B11</f>
        <v>0</v>
      </c>
      <c r="BP16" s="352" t="str">
        <f>IF(BO$3=0,"N.D.",BO16/BO$3)</f>
        <v>N.D.</v>
      </c>
      <c r="BQ16" s="351">
        <f>proyeccion!G11*TC_PROY</f>
        <v>0</v>
      </c>
      <c r="BR16" s="352" t="str">
        <f>IF(BQ$3=0,"N.D.",BQ16/BQ$3)</f>
        <v>N.D.</v>
      </c>
      <c r="BS16" s="351">
        <f>proyeccion!H11*TC_PROY</f>
        <v>0</v>
      </c>
      <c r="BT16" s="352" t="str">
        <f>IF(BS$3=0,"N.D.",BS16/BS$3)</f>
        <v>N.D.</v>
      </c>
      <c r="BU16" s="351">
        <f>proyeccion!E11</f>
        <v>0</v>
      </c>
      <c r="BV16" s="352" t="str">
        <f>IF(BU$3=0,"N.D.",BU16/BU$3)</f>
        <v>N.D.</v>
      </c>
      <c r="BW16" s="351">
        <f>proyeccion!F11</f>
        <v>0</v>
      </c>
      <c r="BX16" s="352" t="str">
        <f>IF(BW$3=0,"N.D.",BW16/BW$3)</f>
        <v>N.D.</v>
      </c>
      <c r="BY16" s="351">
        <f>BM16+BO16+BQ16+BS16+BU16+BW16</f>
        <v>0</v>
      </c>
      <c r="BZ16" s="352" t="str">
        <f>IF(BY$3=0,"N.D.",BY16/BY$3)</f>
        <v>N.D.</v>
      </c>
    </row>
    <row r="17" spans="1:78">
      <c r="B17" s="7" t="s">
        <v>40</v>
      </c>
      <c r="C17" s="11"/>
      <c r="D17" s="304"/>
      <c r="E17" s="302"/>
      <c r="F17" s="11">
        <f>TablasER!E21-TablasER!U17</f>
        <v>31.72272</v>
      </c>
      <c r="G17" s="304">
        <f>IFERROR(F17/TablasER!U17,0)</f>
        <v>0</v>
      </c>
      <c r="H17" s="302"/>
      <c r="I17" s="206">
        <f>TablasER!G21-TablasER!W17</f>
        <v>0</v>
      </c>
      <c r="J17" s="304">
        <f>IFERROR(I17/TablasER!W17,0)</f>
        <v>0</v>
      </c>
      <c r="K17" s="302"/>
      <c r="L17" s="206">
        <f>TablasER!I21-TablasER!Y17</f>
        <v>0</v>
      </c>
      <c r="M17" s="304">
        <f>IFERROR(L17/TablasER!Y17,0)</f>
        <v>0</v>
      </c>
      <c r="N17" s="302"/>
      <c r="O17" s="206">
        <f>TablasER!K21-TablasER!AA17</f>
        <v>65.066835</v>
      </c>
      <c r="P17" s="304">
        <f>IFERROR(O17/TablasER!AA17,0)</f>
        <v>0</v>
      </c>
      <c r="Q17" s="302"/>
      <c r="R17" s="206">
        <f>TablasER!M21-TablasER!AC17</f>
        <v>-122.23857</v>
      </c>
      <c r="S17" s="304">
        <f>IFERROR(R17/TablasER!AC17,0)</f>
        <v>-0.24694660606061</v>
      </c>
      <c r="T17" s="302"/>
      <c r="U17" s="206">
        <f>TablasER!O21-TablasER!AE17</f>
        <v>-25.449015</v>
      </c>
      <c r="V17" s="302">
        <f>IFERROR(U17/TablasER!AE17,0)</f>
        <v>-0.051412151515151</v>
      </c>
      <c r="Y17" s="328" t="s">
        <v>40</v>
      </c>
      <c r="AA17" s="242">
        <f>TablasER!AY17</f>
        <v>469.550985</v>
      </c>
      <c r="AB17" s="330">
        <f>IF($AA$4=0,"N.D.",AA17/$AA$4)</f>
        <v>0.0017574533487848</v>
      </c>
      <c r="AD17" s="242">
        <f>BY16</f>
        <v>0</v>
      </c>
      <c r="AE17" s="330" t="str">
        <f>IF($AD$4=0,"N.D.",AD17/$AD$4)</f>
        <v>N.D.</v>
      </c>
      <c r="AG17" s="242">
        <f>TablasER!BA17</f>
        <v>495</v>
      </c>
      <c r="AH17" s="330">
        <f>IF($AG$4=0,"N.D.",AG17/$AG$4)</f>
        <v>0.0027225545445551</v>
      </c>
      <c r="AJ17" s="242">
        <f>AA17-AD17</f>
        <v>469.550985</v>
      </c>
      <c r="AK17" s="330">
        <f>IFERROR(IF(0&gt;AJ17,(IF(0&gt;AJ17,AJ17/-1,AJ17)/AD17)/-1,(IF(0&gt;AJ17,AJ17/-1,AJ17)/AD17)),0)</f>
        <v>0</v>
      </c>
      <c r="AM17" s="242">
        <f>AA17-AG17</f>
        <v>-25.449015</v>
      </c>
      <c r="AN17" s="330">
        <f>IFERROR(IF(0&gt;AM17,(IF(0&gt;AM17,AM17/-1,AM17)/AG17)/-1,(IF(0&gt;AM17,AM17/-1,AM17)/AG17)),0)</f>
        <v>-0.051412151515151</v>
      </c>
      <c r="AQ17" s="7"/>
      <c r="AR17" s="8"/>
      <c r="AS17" s="203">
        <f>(BDER_sig!D16+BDER_sig!D38+BDER_sig!D60+BDER_sig!D82+BDER_sig!D104+BDER_sig!D126)/1000</f>
        <v>0</v>
      </c>
      <c r="AT17" s="8">
        <f>(BDER_sig!D479+BDER_sig!D502+BDER_sig!D569+BDER_sig!D614)/1000</f>
        <v>0</v>
      </c>
      <c r="AU17" s="203">
        <f>(BDER_sig!D524+BDER_sig!D546+BDER_sig!D591+BDER_sig!D636+BDER_sig!D658)/1000</f>
        <v>0</v>
      </c>
      <c r="AV17" s="203">
        <f>(BDER_sig!D302+BDER_sig!D324+BDER_sig!D346+BDER_sig!D368)/1000</f>
        <v>0</v>
      </c>
      <c r="AW17" s="203">
        <f>(BDER_sig!D434+BDER_sig!D456)/1000</f>
        <v>0</v>
      </c>
      <c r="AX17" s="11">
        <f>SUM(AR17:AW17)</f>
        <v>0</v>
      </c>
      <c r="AZ17" s="347"/>
      <c r="BA17" s="351">
        <f>BY42</f>
        <v>0</v>
      </c>
      <c r="BB17" s="352" t="str">
        <f>IF(BA$3=0,"N.D.",BA17/BA$3)</f>
        <v>N.D.</v>
      </c>
      <c r="BC17" s="351">
        <f>AX17</f>
        <v>0</v>
      </c>
      <c r="BD17" s="352">
        <f>IF(BC$3=0,"N.D.",BC17/BC$3)</f>
        <v>0</v>
      </c>
      <c r="BE17" s="351">
        <f>AX42</f>
        <v>0</v>
      </c>
      <c r="BF17" s="352">
        <f>IF(BE$3=0,"N.D.",BE17/BE$3)</f>
        <v>0</v>
      </c>
      <c r="BG17" s="351">
        <f>+BA17-BC17</f>
        <v>0</v>
      </c>
      <c r="BH17" s="353" t="str">
        <f>IF(BC17=0,"N.D.",BA17/BC17-1)</f>
        <v>N.D.</v>
      </c>
      <c r="BI17" s="351">
        <f>+BA17-BE17</f>
        <v>0</v>
      </c>
      <c r="BJ17" s="353" t="str">
        <f>IF(BE17=0, "N.D.",BA17/BE17-1)</f>
        <v>N.D.</v>
      </c>
      <c r="BL17" s="347"/>
      <c r="BM17" s="351"/>
      <c r="BN17" s="352" t="str">
        <f>IF(BM$3=0,"N.D.",BM17/BM$3)</f>
        <v>0</v>
      </c>
      <c r="BO17" s="351">
        <f>proyeccion!B12</f>
        <v>0</v>
      </c>
      <c r="BP17" s="352" t="str">
        <f>IF(BO$3=0,"N.D.",BO17/BO$3)</f>
        <v>N.D.</v>
      </c>
      <c r="BQ17" s="351">
        <f>proyeccion!G12*TC_PROY</f>
        <v>0</v>
      </c>
      <c r="BR17" s="352" t="str">
        <f>IF(BQ$3=0,"N.D.",BQ17/BQ$3)</f>
        <v>N.D.</v>
      </c>
      <c r="BS17" s="351">
        <f>proyeccion!H12*TC_PROY</f>
        <v>0</v>
      </c>
      <c r="BT17" s="352" t="str">
        <f>IF(BS$3=0,"N.D.",BS17/BS$3)</f>
        <v>N.D.</v>
      </c>
      <c r="BU17" s="351">
        <f>proyeccion!E12</f>
        <v>0</v>
      </c>
      <c r="BV17" s="352" t="str">
        <f>IF(BU$3=0,"N.D.",BU17/BU$3)</f>
        <v>N.D.</v>
      </c>
      <c r="BW17" s="351">
        <f>proyeccion!F12</f>
        <v>0</v>
      </c>
      <c r="BX17" s="352" t="str">
        <f>IF(BW$3=0,"N.D.",BW17/BW$3)</f>
        <v>N.D.</v>
      </c>
      <c r="BY17" s="351">
        <f>BM17+BO17+BQ17+BS17+BU17+BW17</f>
        <v>0</v>
      </c>
      <c r="BZ17" s="352" t="str">
        <f>IF(BY$3=0,"N.D.",BY17/BY$3)</f>
        <v>N.D.</v>
      </c>
    </row>
    <row r="18" spans="1:78">
      <c r="B18" s="7"/>
      <c r="C18" s="34"/>
      <c r="D18" s="304"/>
      <c r="E18" s="302"/>
      <c r="F18" s="34">
        <f>TablasER!E22-TablasER!U18</f>
        <v>0</v>
      </c>
      <c r="G18" s="304">
        <f>IFERROR(F18/TablasER!U18,0)</f>
        <v>0</v>
      </c>
      <c r="H18" s="302"/>
      <c r="I18" s="207">
        <f>TablasER!G22-TablasER!W18</f>
        <v>0</v>
      </c>
      <c r="J18" s="304">
        <f>IFERROR(I18/TablasER!W18,0)</f>
        <v>0</v>
      </c>
      <c r="K18" s="302"/>
      <c r="L18" s="207">
        <f>TablasER!I22-TablasER!Y18</f>
        <v>0</v>
      </c>
      <c r="M18" s="304">
        <f>IFERROR(L18/TablasER!Y18,0)</f>
        <v>0</v>
      </c>
      <c r="N18" s="302"/>
      <c r="O18" s="207">
        <f>TablasER!K22-TablasER!AA18</f>
        <v>0</v>
      </c>
      <c r="P18" s="304">
        <f>IFERROR(O18/TablasER!AA18,0)</f>
        <v>0</v>
      </c>
      <c r="Q18" s="302"/>
      <c r="R18" s="207">
        <f>TablasER!M22-TablasER!AC18</f>
        <v>0</v>
      </c>
      <c r="S18" s="304">
        <f>IFERROR(R18/TablasER!AC18,0)</f>
        <v>0</v>
      </c>
      <c r="T18" s="302"/>
      <c r="U18" s="207">
        <f>TablasER!O22-TablasER!AE18</f>
        <v>0</v>
      </c>
      <c r="V18" s="302">
        <f>IFERROR(U18/TablasER!AE18,0)</f>
        <v>0</v>
      </c>
      <c r="Y18" s="328"/>
      <c r="AA18" s="242">
        <f>TablasER!AY18</f>
        <v>0</v>
      </c>
      <c r="AB18" s="330">
        <f>IF($AA$4=0,"N.D.",AA18/$AA$4)</f>
        <v>0</v>
      </c>
      <c r="AD18" s="242">
        <f>BY17</f>
        <v>0</v>
      </c>
      <c r="AE18" s="330" t="str">
        <f>IF($AD$4=0,"N.D.",AD18/$AD$4)</f>
        <v>N.D.</v>
      </c>
      <c r="AG18" s="242">
        <f>TablasER!BA18</f>
        <v>0</v>
      </c>
      <c r="AH18" s="330">
        <f>IF($AG$4=0,"N.D.",AG18/$AG$4)</f>
        <v>0</v>
      </c>
      <c r="AJ18" s="242">
        <f>AA18-AD18</f>
        <v>0</v>
      </c>
      <c r="AK18" s="330">
        <f>IFERROR(IF(0&gt;AJ18,(IF(0&gt;AJ18,AJ18/-1,AJ18)/AD18)/-1,(IF(0&gt;AJ18,AJ18/-1,AJ18)/AD18)),0)</f>
        <v>0</v>
      </c>
      <c r="AM18" s="242">
        <f>AA18-AG18</f>
        <v>0</v>
      </c>
      <c r="AN18" s="330">
        <f>IFERROR(IF(0&gt;AM18,(IF(0&gt;AM18,AM18/-1,AM18)/AG18)/-1,(IF(0&gt;AM18,AM18/-1,AM18)/AG18)),0)</f>
        <v>0</v>
      </c>
      <c r="AQ18" s="4" t="s">
        <v>41</v>
      </c>
      <c r="AR18" s="200"/>
      <c r="AS18" s="203">
        <f>(BDER_sig!D17+BDER_sig!D39+BDER_sig!D61+BDER_sig!D83+BDER_sig!D105+BDER_sig!D127)/1000</f>
        <v>0</v>
      </c>
      <c r="AT18" s="8">
        <f>(BDER_sig!D480+BDER_sig!D503+BDER_sig!D570+BDER_sig!D615)/1000</f>
        <v>-10.193</v>
      </c>
      <c r="AU18" s="203">
        <f>(BDER_sig!D525+BDER_sig!D547+BDER_sig!D592+BDER_sig!D637+BDER_sig!D659)/1000</f>
        <v>8.7</v>
      </c>
      <c r="AV18" s="203">
        <f>(BDER_sig!D303+BDER_sig!D325+BDER_sig!D347+BDER_sig!D369)/1000</f>
        <v>96.979</v>
      </c>
      <c r="AW18" s="203">
        <f>(BDER_sig!D435+BDER_sig!D457)/1000</f>
        <v>-575.832</v>
      </c>
      <c r="AX18" s="14">
        <f>SUM(AR18:AW18)</f>
        <v>-480.346</v>
      </c>
      <c r="AZ18" s="344" t="s">
        <v>41</v>
      </c>
      <c r="BA18" s="354">
        <f>BY43</f>
        <v>0</v>
      </c>
      <c r="BB18" s="355" t="str">
        <f>IF(BA$3=0,"N.D.",BA18/BA$3)</f>
        <v>N.D.</v>
      </c>
      <c r="BC18" s="354">
        <f>AX18</f>
        <v>-480.346</v>
      </c>
      <c r="BD18" s="355">
        <f>IF(BC$3=0,"N.D.",BC18/BC$3)</f>
        <v>-0.0056432426150592</v>
      </c>
      <c r="BE18" s="354">
        <f>AX43</f>
        <v>-3552.13039</v>
      </c>
      <c r="BF18" s="355">
        <f>IF(BE$3=0,"N.D.",BE18/BE$3)</f>
        <v>-0.023376857908061</v>
      </c>
      <c r="BG18" s="354">
        <f>+BA18-BC18</f>
        <v>480.346</v>
      </c>
      <c r="BH18" s="356">
        <f>IF(BC18=0,"N.D.",BA18/BC18-1)</f>
        <v>-1</v>
      </c>
      <c r="BI18" s="354">
        <f>+BA18-BE18</f>
        <v>3552.13039</v>
      </c>
      <c r="BJ18" s="356">
        <f>IF(BE18=0, "N.D.",BA18/BE18-1)</f>
        <v>-1</v>
      </c>
      <c r="BL18" s="344" t="s">
        <v>41</v>
      </c>
      <c r="BM18" s="354"/>
      <c r="BN18" s="355" t="str">
        <f>IF(BM$3=0,"N.D.",BM18/BM$3)</f>
        <v>0</v>
      </c>
      <c r="BO18" s="354">
        <f>BO13+BO14+BO15-BO16-BO17</f>
        <v>0</v>
      </c>
      <c r="BP18" s="355" t="str">
        <f>IF(BO$3=0,"N.D.",BO18/BO$3)</f>
        <v>N.D.</v>
      </c>
      <c r="BQ18" s="354">
        <f>BQ13+BQ14+BQ15-BQ16-BQ17</f>
        <v>0</v>
      </c>
      <c r="BR18" s="355" t="str">
        <f>IF(BQ$3=0,"N.D.",BQ18/BQ$3)</f>
        <v>N.D.</v>
      </c>
      <c r="BS18" s="354">
        <f>BS13+BS14+BS15-BS16-BS17</f>
        <v>0</v>
      </c>
      <c r="BT18" s="355" t="str">
        <f>IF(BS$3=0,"N.D.",BS18/BS$3)</f>
        <v>N.D.</v>
      </c>
      <c r="BU18" s="354">
        <f>BU13+BU14+BU15-BU16-BU17</f>
        <v>0</v>
      </c>
      <c r="BV18" s="355" t="str">
        <f>IF(BU$3=0,"N.D.",BU18/BU$3)</f>
        <v>N.D.</v>
      </c>
      <c r="BW18" s="354">
        <f>BW13+BW14+BW15-BW16-BW17</f>
        <v>0</v>
      </c>
      <c r="BX18" s="355" t="str">
        <f>IF(BW$3=0,"N.D.",BW18/BW$3)</f>
        <v>N.D.</v>
      </c>
      <c r="BY18" s="354">
        <f>BM18+BO18+BQ18+BS18+BU18+BW18</f>
        <v>0</v>
      </c>
      <c r="BZ18" s="355" t="str">
        <f>IF(BY$3=0,"N.D.",BY18/BY$3)</f>
        <v>N.D.</v>
      </c>
    </row>
    <row r="19" spans="1:78">
      <c r="B19" s="4" t="s">
        <v>41</v>
      </c>
      <c r="C19" s="14"/>
      <c r="D19" s="314"/>
      <c r="E19" s="317"/>
      <c r="F19" s="14">
        <f>TablasER!E23-TablasER!U19</f>
        <v>793.04996</v>
      </c>
      <c r="G19" s="314">
        <f>IFERROR(F19/TablasER!U19,0)</f>
        <v>0</v>
      </c>
      <c r="H19" s="317"/>
      <c r="I19" s="214">
        <f>TablasER!G23-TablasER!W19</f>
        <v>6.203552904</v>
      </c>
      <c r="J19" s="314">
        <f>IFERROR(I19/TablasER!W19,0)</f>
        <v>-0.029380268199234</v>
      </c>
      <c r="K19" s="317"/>
      <c r="L19" s="214">
        <f>TablasER!I23-TablasER!Y19</f>
        <v>63.911176992</v>
      </c>
      <c r="M19" s="314">
        <f>IFERROR(L19/TablasER!Y19,0)</f>
        <v>0.36322298850575</v>
      </c>
      <c r="N19" s="317"/>
      <c r="O19" s="214">
        <f>TablasER!K23-TablasER!AA19</f>
        <v>1959.625145</v>
      </c>
      <c r="P19" s="314">
        <f>IFERROR(O19/TablasER!AA19,0)</f>
        <v>-0.80608875706542</v>
      </c>
      <c r="Q19" s="317"/>
      <c r="R19" s="214">
        <f>TablasER!M23-TablasER!AC19</f>
        <v>217.47351</v>
      </c>
      <c r="S19" s="314">
        <f>IFERROR(R19/TablasER!AC19,0)</f>
        <v>-0.37690383015598</v>
      </c>
      <c r="T19" s="317"/>
      <c r="U19" s="214">
        <f>TablasER!O23-TablasER!AE19</f>
        <v>3041.263344896</v>
      </c>
      <c r="V19" s="303">
        <f>IFERROR(U19/TablasER!AE19,0)</f>
        <v>-0.99935699456291</v>
      </c>
      <c r="Y19" s="331" t="s">
        <v>41</v>
      </c>
      <c r="AA19" s="239">
        <f>AA14+AA15+AA16-AA17</f>
        <v>-1.9568071039999</v>
      </c>
      <c r="AB19" s="332">
        <f>IF($AA$4=0,"N.D.",AA19/$AA$4)</f>
        <v>-7.3240123175345E-6</v>
      </c>
      <c r="AD19" s="239">
        <f>AD14+AD15+AD16-AD17</f>
        <v>0</v>
      </c>
      <c r="AE19" s="332" t="str">
        <f>IF($AD$4=0,"N.D.",AD19/$AD$4)</f>
        <v>N.D.</v>
      </c>
      <c r="AG19" s="239">
        <f>TablasER!BA19</f>
        <v>-3043.220152</v>
      </c>
      <c r="AH19" s="332">
        <f>IF($AG$4=0,"N.D.",AG19/$AG$4)</f>
        <v>-0.016738046171534</v>
      </c>
      <c r="AJ19" s="239">
        <f>AA19-AD19</f>
        <v>-1.9568071039999</v>
      </c>
      <c r="AK19" s="332">
        <f>IFERROR(IF(0&gt;AJ19,(IF(0&gt;AJ19,AJ19/-1,AJ19)/AD19)/-1,(IF(0&gt;AJ19,AJ19/-1,AJ19)/AD19)),0)</f>
        <v>0</v>
      </c>
      <c r="AM19" s="239">
        <f>AA19-AG19</f>
        <v>3041.263344896</v>
      </c>
      <c r="AN19" s="332">
        <f>IFERROR(IF(0&gt;AM19,(IF(0&gt;AM19,AM19/-1,AM19)/AG19)/-1,(IF(0&gt;AM19,AM19/-1,AM19)/AG19)),0)</f>
        <v>-0.99935699456291</v>
      </c>
      <c r="AQ19" s="4" t="s">
        <v>42</v>
      </c>
      <c r="AR19" s="14"/>
      <c r="AS19" s="203">
        <f>(BDER_sig!D18+BDER_sig!D40+BDER_sig!D62+BDER_sig!D84+BDER_sig!D106+BDER_sig!D128)/1000</f>
        <v>0</v>
      </c>
      <c r="AT19" s="8">
        <f>(BDER_sig!D481+BDER_sig!D504+BDER_sig!D571+BDER_sig!D616)/1000</f>
        <v>85.708</v>
      </c>
      <c r="AU19" s="203">
        <f>(BDER_sig!D526+BDER_sig!D548+BDER_sig!D593+BDER_sig!D638+BDER_sig!D660)/1000</f>
        <v>47.717</v>
      </c>
      <c r="AV19" s="203">
        <f>(BDER_sig!D304+BDER_sig!D326+BDER_sig!D348+BDER_sig!D370)/1000</f>
        <v>10188.453</v>
      </c>
      <c r="AW19" s="203">
        <f>(BDER_sig!D436+BDER_sig!D458)/1000</f>
        <v>5181.591</v>
      </c>
      <c r="AX19" s="14">
        <f>SUM(AR19:AW19)</f>
        <v>15503.469</v>
      </c>
      <c r="AZ19" s="344" t="s">
        <v>42</v>
      </c>
      <c r="BA19" s="360">
        <f>BY44</f>
        <v>0</v>
      </c>
      <c r="BB19" s="355" t="str">
        <f>IF(BA$3=0,"N.D.",BA19/BA$3)</f>
        <v>N.D.</v>
      </c>
      <c r="BC19" s="360">
        <f>AX19</f>
        <v>15503.469</v>
      </c>
      <c r="BD19" s="355">
        <f>IF(BC$3=0,"N.D.",BC19/BC$3)</f>
        <v>0.18213920162143</v>
      </c>
      <c r="BE19" s="360">
        <f>AX44</f>
        <v>15020.86853</v>
      </c>
      <c r="BF19" s="355">
        <f>IF(BE$3=0,"N.D.",BE19/BE$3)</f>
        <v>0.098853552862251</v>
      </c>
      <c r="BG19" s="354">
        <f>+BA19-BC19</f>
        <v>-15503.469</v>
      </c>
      <c r="BH19" s="356">
        <f>IF(BC19=0,"N.D.",BA19/BC19-1)</f>
        <v>-1</v>
      </c>
      <c r="BI19" s="354">
        <f>+BA19-BE19</f>
        <v>-15020.86853</v>
      </c>
      <c r="BJ19" s="356">
        <f>IF(BE19=0, "N.D.",BA19/BE19-1)</f>
        <v>-1</v>
      </c>
      <c r="BL19" s="344" t="s">
        <v>42</v>
      </c>
      <c r="BM19" s="212"/>
      <c r="BN19" s="355" t="str">
        <f>IF(BM$3=0,"N.D.",BM19/BM$3)</f>
        <v>0</v>
      </c>
      <c r="BO19" s="354">
        <f>BO11-BO18</f>
        <v>0</v>
      </c>
      <c r="BP19" s="355" t="str">
        <f>IF(BO$3=0,"N.D.",BO19/BO$3)</f>
        <v>N.D.</v>
      </c>
      <c r="BQ19" s="354">
        <f>BQ11-BQ18</f>
        <v>0</v>
      </c>
      <c r="BR19" s="355" t="str">
        <f>IF(BQ$3=0,"N.D.",BQ19/BQ$3)</f>
        <v>N.D.</v>
      </c>
      <c r="BS19" s="354">
        <f>BS11-BS18</f>
        <v>0</v>
      </c>
      <c r="BT19" s="355" t="str">
        <f>IF(BS$3=0,"N.D.",BS19/BS$3)</f>
        <v>N.D.</v>
      </c>
      <c r="BU19" s="354">
        <f>BU11-BU18</f>
        <v>0</v>
      </c>
      <c r="BV19" s="355" t="str">
        <f>IF(BU$3=0,"N.D.",BU19/BU$3)</f>
        <v>N.D.</v>
      </c>
      <c r="BW19" s="354">
        <f>BW11-BW18</f>
        <v>0</v>
      </c>
      <c r="BX19" s="355" t="str">
        <f>IF(BW$3=0,"N.D.",BW19/BW$3)</f>
        <v>N.D.</v>
      </c>
      <c r="BY19" s="354">
        <f>BM19+BO19+BQ19+BS19+BU19+BW19</f>
        <v>0</v>
      </c>
      <c r="BZ19" s="355" t="str">
        <f>IF(BY$3=0,"N.D.",BY19/BY$3)</f>
        <v>N.D.</v>
      </c>
    </row>
    <row r="20" spans="1:78">
      <c r="B20" s="4" t="s">
        <v>42</v>
      </c>
      <c r="C20" s="14"/>
      <c r="D20" s="314"/>
      <c r="E20" s="317"/>
      <c r="F20" s="14">
        <f>TablasER!E24-TablasER!U20</f>
        <v>5566.96647</v>
      </c>
      <c r="G20" s="314">
        <f>IFERROR(F20/TablasER!U20,0)</f>
        <v>0</v>
      </c>
      <c r="H20" s="317"/>
      <c r="I20" s="214">
        <f>TablasER!G24-TablasER!W20</f>
        <v>2725.816026816</v>
      </c>
      <c r="J20" s="314">
        <f>IFERROR(I20/TablasER!W20,0)</f>
        <v>-3.7919117688434</v>
      </c>
      <c r="K20" s="317"/>
      <c r="L20" s="214">
        <f>TablasER!I24-TablasER!Y20</f>
        <v>-178.17239808</v>
      </c>
      <c r="M20" s="314">
        <f>IFERROR(L20/TablasER!Y20,0)</f>
        <v>-0.18248027010792</v>
      </c>
      <c r="N20" s="317"/>
      <c r="O20" s="214">
        <f>TablasER!K24-TablasER!AA20</f>
        <v>-10426.508935</v>
      </c>
      <c r="P20" s="314">
        <f>IFERROR(O20/TablasER!AA20,0)</f>
        <v>-0.51260042367852</v>
      </c>
      <c r="Q20" s="317"/>
      <c r="R20" s="214">
        <f>TablasER!M24-TablasER!AC20</f>
        <v>-199.25919</v>
      </c>
      <c r="S20" s="314">
        <f>IFERROR(R20/TablasER!AC20,0)</f>
        <v>-0.058130580497149</v>
      </c>
      <c r="T20" s="317"/>
      <c r="U20" s="214">
        <f>TablasER!O24-TablasER!AE20</f>
        <v>-2512.158026264</v>
      </c>
      <c r="V20" s="303">
        <f>IFERROR(U20/TablasER!AE20,0)</f>
        <v>-0.10456106315902</v>
      </c>
      <c r="Y20" s="331" t="s">
        <v>42</v>
      </c>
      <c r="AA20" s="338">
        <f>AA12-AA19</f>
        <v>21513.592576936</v>
      </c>
      <c r="AB20" s="336">
        <f>IF($AA$4=0,"N.D.",AA20/$AA$4)</f>
        <v>0.080521895441722</v>
      </c>
      <c r="AD20" s="338">
        <f>AD12-AD19</f>
        <v>0</v>
      </c>
      <c r="AE20" s="336" t="str">
        <f>IF($AD$4=0,"N.D.",AD20/$AD$4)</f>
        <v>N.D.</v>
      </c>
      <c r="AG20" s="338">
        <f>TablasER!BA20</f>
        <v>24025.7506032</v>
      </c>
      <c r="AH20" s="336">
        <f>IF($AG$4=0,"N.D.",AG20/$AG$4)</f>
        <v>0.13214427573957</v>
      </c>
      <c r="AJ20" s="239">
        <f>AA20-AD20</f>
        <v>21513.592576936</v>
      </c>
      <c r="AK20" s="336">
        <f>IFERROR(IF(0&gt;AJ20,(IF(0&gt;AJ20,AJ20/-1,AJ20)/AD20)/-1,(IF(0&gt;AJ20,AJ20/-1,AJ20)/AD20)),0)</f>
        <v>0</v>
      </c>
      <c r="AM20" s="239">
        <f>AA20-AG20</f>
        <v>-2512.158026264</v>
      </c>
      <c r="AN20" s="336">
        <f>IFERROR(IF(0&gt;AM20,(IF(0&gt;AM20,AM20/-1,AM20)/AG20)/-1,(IF(0&gt;AM20,AM20/-1,AM20)/AG20)),0)</f>
        <v>-0.10456106315902</v>
      </c>
      <c r="AQ20" s="1"/>
      <c r="AS20" s="307"/>
      <c r="AT20" s="307"/>
      <c r="AU20" s="307"/>
      <c r="AV20" s="307"/>
      <c r="AW20" s="307"/>
      <c r="AX20" s="30"/>
      <c r="AZ20" s="341"/>
      <c r="BA20" s="357"/>
      <c r="BB20" s="358"/>
      <c r="BC20" s="357"/>
      <c r="BD20" s="358"/>
      <c r="BE20" s="357"/>
      <c r="BF20" s="358"/>
      <c r="BG20" s="357"/>
      <c r="BH20" s="359"/>
      <c r="BI20" s="357"/>
      <c r="BJ20" s="359"/>
      <c r="BL20" s="347"/>
      <c r="BM20" s="357"/>
      <c r="BN20" s="358"/>
      <c r="BO20" s="357"/>
      <c r="BP20" s="358"/>
      <c r="BQ20" s="357"/>
      <c r="BR20" s="358"/>
      <c r="BS20" s="357"/>
      <c r="BT20" s="358"/>
      <c r="BU20" s="357"/>
      <c r="BV20" s="358"/>
      <c r="BW20" s="357"/>
      <c r="BX20" s="358"/>
      <c r="BY20" s="357"/>
      <c r="BZ20" s="358"/>
    </row>
    <row r="21" spans="1:78" s="307" customFormat="1">
      <c r="B21" s="1"/>
      <c r="C21" s="30"/>
      <c r="D21" s="304"/>
      <c r="E21" s="304"/>
      <c r="F21" s="30"/>
      <c r="G21" s="304"/>
      <c r="H21" s="304"/>
      <c r="I21" s="30"/>
      <c r="J21" s="304"/>
      <c r="K21" s="304"/>
      <c r="L21" s="30"/>
      <c r="M21" s="304"/>
      <c r="N21" s="304"/>
      <c r="O21" s="30"/>
      <c r="P21" s="304"/>
      <c r="Q21" s="304"/>
      <c r="R21" s="30"/>
      <c r="S21" s="304"/>
      <c r="T21" s="304"/>
      <c r="U21" s="30"/>
      <c r="V21" s="304"/>
      <c r="Y21" s="333"/>
      <c r="Z21" s="307"/>
      <c r="AA21" s="307"/>
      <c r="AB21" s="322"/>
      <c r="AC21" s="307"/>
      <c r="AD21" s="307"/>
      <c r="AE21" s="322"/>
      <c r="AF21" s="307"/>
      <c r="AG21" s="307"/>
      <c r="AH21" s="322"/>
      <c r="AI21" s="307"/>
      <c r="AJ21" s="201"/>
      <c r="AK21" s="322"/>
      <c r="AL21" s="307"/>
      <c r="AM21" s="323"/>
      <c r="AN21" s="322"/>
      <c r="AQ21" s="7" t="s">
        <v>43</v>
      </c>
      <c r="AR21" s="203"/>
      <c r="AS21" s="203">
        <f>(BDER_sig!D19+BDER_sig!D41+BDER_sig!D63+BDER_sig!D85+BDER_sig!D107+BDER_sig!D129)/1000</f>
        <v>0</v>
      </c>
      <c r="AT21" s="8">
        <f>(BDER_sig!D482+BDER_sig!D505+BDER_sig!D572+BDER_sig!D617)/1000</f>
        <v>0</v>
      </c>
      <c r="AU21" s="203">
        <f>(BDER_sig!D527+BDER_sig!D549+BDER_sig!D594+BDER_sig!D639+BDER_sig!D661)/1000</f>
        <v>0</v>
      </c>
      <c r="AV21" s="203">
        <f>(BDER_sig!D305+BDER_sig!D327+BDER_sig!D349+BDER_sig!D371)/1000</f>
        <v>1977.583</v>
      </c>
      <c r="AW21" s="203">
        <f>(BDER_sig!D437+BDER_sig!D459)/1000</f>
        <v>1145.574</v>
      </c>
      <c r="AX21" s="8">
        <f>SUM(AR21:AW21)</f>
        <v>3123.157</v>
      </c>
      <c r="AZ21" s="347" t="s">
        <v>43</v>
      </c>
      <c r="BA21" s="348">
        <f>BY46</f>
        <v>0</v>
      </c>
      <c r="BB21" s="349" t="str">
        <f>IF(BA$3=0,"N.D.",BA21/BA$3)</f>
        <v>N.D.</v>
      </c>
      <c r="BC21" s="348">
        <f>AX21</f>
        <v>3123.157</v>
      </c>
      <c r="BD21" s="349">
        <f>IF(BC$3=0,"N.D.",BC21/BC$3)</f>
        <v>0.036691744442382</v>
      </c>
      <c r="BE21" s="348">
        <f>AX46</f>
        <v>3037.3601</v>
      </c>
      <c r="BF21" s="349">
        <f>IF(BE$3=0,"N.D.",BE21/BE$3)</f>
        <v>0.019989112920293</v>
      </c>
      <c r="BG21" s="348">
        <f>+BA21-BC21</f>
        <v>-3123.157</v>
      </c>
      <c r="BH21" s="350">
        <f>IF(BC21=0,"N.D.",BA21/BC21-1)</f>
        <v>-1</v>
      </c>
      <c r="BI21" s="348">
        <f>+BA21-BE21</f>
        <v>-3037.3601</v>
      </c>
      <c r="BJ21" s="350">
        <f>IF(BE21=0, "N.D.",BA21/BE21-1)</f>
        <v>-1</v>
      </c>
      <c r="BL21" s="347" t="s">
        <v>43</v>
      </c>
      <c r="BM21" s="348"/>
      <c r="BN21" s="349" t="str">
        <f>IF(BM$3=0,"N.D.",BM21/BM$3)</f>
        <v>0</v>
      </c>
      <c r="BO21" s="348">
        <f>proyeccion!B13</f>
        <v>0</v>
      </c>
      <c r="BP21" s="349" t="str">
        <f>IF(BO$3=0,"N.D.",BO21/BO$3)</f>
        <v>N.D.</v>
      </c>
      <c r="BQ21" s="348">
        <f>proyeccion!G13*TC_PROY</f>
        <v>0</v>
      </c>
      <c r="BR21" s="349" t="str">
        <f>IF(BQ$3=0,"N.D.",BQ21/BQ$3)</f>
        <v>N.D.</v>
      </c>
      <c r="BS21" s="348">
        <f>proyeccion!H13*TC_PROY</f>
        <v>0</v>
      </c>
      <c r="BT21" s="349" t="str">
        <f>IF(BS$3=0,"N.D.",BS21/BS$3)</f>
        <v>N.D.</v>
      </c>
      <c r="BU21" s="348">
        <f>proyeccion!E13</f>
        <v>0</v>
      </c>
      <c r="BV21" s="349" t="str">
        <f>IF(BU$3=0,"N.D.",BU21/BU$3)</f>
        <v>N.D.</v>
      </c>
      <c r="BW21" s="348">
        <f>proyeccion!F13</f>
        <v>0</v>
      </c>
      <c r="BX21" s="349" t="str">
        <f>IF(BW$3=0,"N.D.",BW21/BW$3)</f>
        <v>N.D.</v>
      </c>
      <c r="BY21" s="348">
        <f>BM21+BO21+BQ21+BS21+BU21+BW21</f>
        <v>0</v>
      </c>
      <c r="BZ21" s="349" t="str">
        <f>IF(BY$3=0,"N.D.",BY21/BY$3)</f>
        <v>N.D.</v>
      </c>
    </row>
    <row r="22" spans="1:78">
      <c r="B22" s="7" t="s">
        <v>43</v>
      </c>
      <c r="C22" s="8"/>
      <c r="D22" s="313"/>
      <c r="E22" s="302"/>
      <c r="F22" s="8">
        <f>TablasER!E26-TablasER!U22</f>
        <v>1537.24566</v>
      </c>
      <c r="G22" s="313">
        <f>IFERROR(F22/TablasER!U22,0)</f>
        <v>0</v>
      </c>
      <c r="H22" s="302"/>
      <c r="I22" s="204">
        <f>TablasER!G26-TablasER!W22</f>
        <v>0</v>
      </c>
      <c r="J22" s="313">
        <f>IFERROR(I22/TablasER!W22,0)</f>
        <v>0</v>
      </c>
      <c r="K22" s="302"/>
      <c r="L22" s="204">
        <f>TablasER!I26-TablasER!Y22</f>
        <v>0</v>
      </c>
      <c r="M22" s="313">
        <f>IFERROR(L22/TablasER!Y22,0)</f>
        <v>0</v>
      </c>
      <c r="N22" s="302"/>
      <c r="O22" s="204">
        <f>TablasER!K26-TablasER!AA22</f>
        <v>1004.60912</v>
      </c>
      <c r="P22" s="313">
        <f>IFERROR(O22/TablasER!AA22,0)</f>
        <v>0.33458207760728</v>
      </c>
      <c r="Q22" s="302"/>
      <c r="R22" s="204">
        <f>TablasER!M26-TablasER!AC22</f>
        <v>-88.961</v>
      </c>
      <c r="S22" s="313">
        <f>IFERROR(R22/TablasER!AC22,0)</f>
        <v>-0.11408386403449</v>
      </c>
      <c r="T22" s="302"/>
      <c r="U22" s="204">
        <f>TablasER!O26-TablasER!AE22</f>
        <v>2452.89378</v>
      </c>
      <c r="V22" s="137">
        <f>IFERROR(U22/TablasER!AE22,0)</f>
        <v>0.6485079520353</v>
      </c>
      <c r="Y22" s="7" t="s">
        <v>43</v>
      </c>
      <c r="AA22" s="241">
        <f>TablasER!$AY$22</f>
        <v>6235.25878</v>
      </c>
      <c r="AB22" s="329">
        <f>IF($AA$4=0,"N.D.",AA22/$AA$4)</f>
        <v>0.023337564553188</v>
      </c>
      <c r="AD22" s="241">
        <f>$BY$21</f>
        <v>0</v>
      </c>
      <c r="AE22" s="329" t="str">
        <f>IF($AD$4=0,"N.D.",AD22/$AD$4)</f>
        <v>N.D.</v>
      </c>
      <c r="AG22" s="241">
        <f>TablasER!BA22</f>
        <v>3782.365</v>
      </c>
      <c r="AH22" s="329">
        <f>IF($AG$4=0,"N.D.",AG22/$AG$4)</f>
        <v>0.020803424282659</v>
      </c>
      <c r="AJ22" s="241">
        <f>AA22-AD22</f>
        <v>6235.25878</v>
      </c>
      <c r="AK22" s="329">
        <f>IFERROR(IF(0&gt;AJ22,(IF(0&gt;AJ22,AJ22/-1,AJ22)/AD22)/-1,(IF(0&gt;AJ22,AJ22/-1,AJ22)/AD22)),0)</f>
        <v>0</v>
      </c>
      <c r="AM22" s="241">
        <f>AA22-AG22</f>
        <v>2452.89378</v>
      </c>
      <c r="AN22" s="329">
        <f>IFERROR(IF(0&gt;AM22,(IF(0&gt;AM22,AM22/-1,AM22)/AG22)/-1,(IF(0&gt;AM22,AM22/-1,AM22)/AG22)),0)</f>
        <v>0.6485079520353</v>
      </c>
      <c r="AQ22" s="7" t="s">
        <v>45</v>
      </c>
      <c r="AR22" s="8"/>
      <c r="AS22" s="203">
        <f>(BDER_sig!D20+BDER_sig!D42+BDER_sig!D64+BDER_sig!D86+BDER_sig!D108+BDER_sig!D130)/1000</f>
        <v>0</v>
      </c>
      <c r="AT22" s="8">
        <f>(BDER_sig!D483+BDER_sig!D506+BDER_sig!D573+BDER_sig!D618)/1000</f>
        <v>0</v>
      </c>
      <c r="AU22" s="203">
        <f>(BDER_sig!D528+BDER_sig!D550+BDER_sig!D595+BDER_sig!D640+BDER_sig!D662)/1000</f>
        <v>0</v>
      </c>
      <c r="AV22" s="203">
        <f>(BDER_sig!D306+BDER_sig!D328+BDER_sig!D350+BDER_sig!D372)/1000</f>
        <v>0</v>
      </c>
      <c r="AW22" s="203">
        <f>(BDER_sig!D438+BDER_sig!D460)/1000</f>
        <v>0</v>
      </c>
      <c r="AX22" s="11">
        <f>SUM(AR22:AW22)</f>
        <v>0</v>
      </c>
      <c r="AZ22" s="347" t="s">
        <v>45</v>
      </c>
      <c r="BA22" s="351">
        <f>BY47</f>
        <v>0</v>
      </c>
      <c r="BB22" s="352" t="str">
        <f>IF(BA$3=0,"N.D.",BA22/BA$3)</f>
        <v>N.D.</v>
      </c>
      <c r="BC22" s="351">
        <f>AX22</f>
        <v>0</v>
      </c>
      <c r="BD22" s="352">
        <f>IF(BC$3=0,"N.D.",BC22/BC$3)</f>
        <v>0</v>
      </c>
      <c r="BE22" s="351">
        <f>AX47</f>
        <v>0</v>
      </c>
      <c r="BF22" s="352">
        <f>IF(BE$3=0,"N.D.",BE22/BE$3)</f>
        <v>0</v>
      </c>
      <c r="BG22" s="351">
        <f>+BA22-BC22</f>
        <v>0</v>
      </c>
      <c r="BH22" s="353" t="str">
        <f>IF(BC22=0,"N.D.",BA22/BC22-1)</f>
        <v>N.D.</v>
      </c>
      <c r="BI22" s="351">
        <f>+BA22-BE22</f>
        <v>0</v>
      </c>
      <c r="BJ22" s="353" t="str">
        <f>IF(BE22=0, "N.D.",BA22/BE22-1)</f>
        <v>N.D.</v>
      </c>
      <c r="BL22" s="347" t="s">
        <v>46</v>
      </c>
      <c r="BM22" s="351"/>
      <c r="BN22" s="352" t="str">
        <f>IF(BM$3=0,"N.D.",BM22/BM$3)</f>
        <v>0</v>
      </c>
      <c r="BO22" s="351">
        <f>proyeccion!B14</f>
        <v>0</v>
      </c>
      <c r="BP22" s="352" t="str">
        <f>IF(BO$3=0,"N.D.",BO22/BO$3)</f>
        <v>N.D.</v>
      </c>
      <c r="BQ22" s="351">
        <f>proyeccion!G14*TC_PROY</f>
        <v>0</v>
      </c>
      <c r="BR22" s="352" t="str">
        <f>IF(BQ$3=0,"N.D.",BQ22/BQ$3)</f>
        <v>N.D.</v>
      </c>
      <c r="BS22" s="351">
        <f>proyeccion!H14*TC_PROY</f>
        <v>0</v>
      </c>
      <c r="BT22" s="352" t="str">
        <f>IF(BS$3=0,"N.D.",BS22/BS$3)</f>
        <v>N.D.</v>
      </c>
      <c r="BU22" s="351">
        <f>proyeccion!E14</f>
        <v>0</v>
      </c>
      <c r="BV22" s="352" t="str">
        <f>IF(BU$3=0,"N.D.",BU22/BU$3)</f>
        <v>N.D.</v>
      </c>
      <c r="BW22" s="351">
        <f>proyeccion!F14</f>
        <v>0</v>
      </c>
      <c r="BX22" s="352" t="str">
        <f>IF(BW$3=0,"N.D.",BW22/BW$3)</f>
        <v>N.D.</v>
      </c>
      <c r="BY22" s="351">
        <f>BM22+BO22+BQ22+BS22+BU22+BW22</f>
        <v>0</v>
      </c>
      <c r="BZ22" s="352" t="str">
        <f>IF(BY$3=0,"N.D.",BY22/BY$3)</f>
        <v>N.D.</v>
      </c>
    </row>
    <row r="23" spans="1:78">
      <c r="B23" s="7" t="s">
        <v>46</v>
      </c>
      <c r="C23" s="34"/>
      <c r="D23" s="304"/>
      <c r="E23" s="302"/>
      <c r="F23" s="34">
        <f>TablasER!E27-TablasER!U23</f>
        <v>0</v>
      </c>
      <c r="G23" s="304">
        <f>IFERROR(F23/TablasER!U23,0)</f>
        <v>0</v>
      </c>
      <c r="H23" s="302"/>
      <c r="I23" s="207">
        <f>TablasER!G27-TablasER!W23</f>
        <v>0</v>
      </c>
      <c r="J23" s="304">
        <f>IFERROR(I23/TablasER!W23,0)</f>
        <v>0</v>
      </c>
      <c r="K23" s="302"/>
      <c r="L23" s="207">
        <f>TablasER!I27-TablasER!Y23</f>
        <v>0</v>
      </c>
      <c r="M23" s="304">
        <f>IFERROR(L23/TablasER!Y23,0)</f>
        <v>0</v>
      </c>
      <c r="N23" s="302"/>
      <c r="O23" s="207">
        <f>TablasER!K27-TablasER!AA23</f>
        <v>0</v>
      </c>
      <c r="P23" s="304">
        <f>IFERROR(O23/TablasER!AA23,0)</f>
        <v>0</v>
      </c>
      <c r="Q23" s="302"/>
      <c r="R23" s="207">
        <f>TablasER!M27-TablasER!AC23</f>
        <v>0</v>
      </c>
      <c r="S23" s="304">
        <f>IFERROR(R23/TablasER!AC23,0)</f>
        <v>0</v>
      </c>
      <c r="T23" s="302"/>
      <c r="U23" s="207">
        <f>TablasER!O27-TablasER!AE23</f>
        <v>0</v>
      </c>
      <c r="V23" s="302">
        <f>IFERROR(U23/TablasER!AE23,0)</f>
        <v>0</v>
      </c>
      <c r="Y23" s="4" t="s">
        <v>47</v>
      </c>
      <c r="AA23" s="239">
        <f>TablasER!AY24</f>
        <v>15278.333796936</v>
      </c>
      <c r="AB23" s="332">
        <f>IF($AA$4=0,"N.D.",AA23/$AA$4)</f>
        <v>0.057184330888534</v>
      </c>
      <c r="AD23" s="239">
        <f>AD20-AD22</f>
        <v>0</v>
      </c>
      <c r="AE23" s="332" t="str">
        <f>IF($AD$4=0,"N.D.",AD23/$AD$4)</f>
        <v>N.D.</v>
      </c>
      <c r="AG23" s="239">
        <f>TablasER!BA24</f>
        <v>20243.3856032</v>
      </c>
      <c r="AH23" s="332">
        <f>IF($AG$4=0,"N.D.",AG23/$AG$4)</f>
        <v>0.11134085145692</v>
      </c>
      <c r="AJ23" s="239">
        <f>AA23-AD23</f>
        <v>15278.333796936</v>
      </c>
      <c r="AK23" s="332">
        <f>IFERROR(IF(0&gt;AJ23,(IF(0&gt;AJ23,AJ23/-1,AJ23)/AD23)/-1,(IF(0&gt;AJ23,AJ23/-1,AJ23)/AD23)),0)</f>
        <v>0</v>
      </c>
      <c r="AM23" s="239">
        <f>AA23-AG23</f>
        <v>-4965.051806264</v>
      </c>
      <c r="AN23" s="332">
        <f>IFERROR(IF(0&gt;AM23,(IF(0&gt;AM23,AM23/-1,AM23)/AG23)/-1,(IF(0&gt;AM23,AM23/-1,AM23)/AG23)),0)</f>
        <v>-0.24526785704656</v>
      </c>
      <c r="AQ23" s="4" t="s">
        <v>47</v>
      </c>
      <c r="AR23" s="14"/>
      <c r="AS23" s="203">
        <f>(BDER_sig!D21+BDER_sig!D43+BDER_sig!D65+BDER_sig!D87+BDER_sig!D109+BDER_sig!D131)/1000</f>
        <v>0</v>
      </c>
      <c r="AT23" s="8">
        <f>(BDER_sig!D484+BDER_sig!D507+BDER_sig!D574+BDER_sig!D619)/1000</f>
        <v>85.708</v>
      </c>
      <c r="AU23" s="203">
        <f>(BDER_sig!D529+BDER_sig!D551+BDER_sig!D596+BDER_sig!D641+BDER_sig!D663)/1000</f>
        <v>47.717</v>
      </c>
      <c r="AV23" s="203">
        <f>(BDER_sig!D307+BDER_sig!D329+BDER_sig!D351+BDER_sig!D373)/1000</f>
        <v>8210.87</v>
      </c>
      <c r="AW23" s="203">
        <f>(BDER_sig!D439+BDER_sig!D461)/1000</f>
        <v>4036.017</v>
      </c>
      <c r="AX23" s="14">
        <f>SUM(AR23:AW23)</f>
        <v>12380.312</v>
      </c>
      <c r="AZ23" s="344" t="s">
        <v>47</v>
      </c>
      <c r="BA23" s="354">
        <f>BY48</f>
        <v>0</v>
      </c>
      <c r="BB23" s="355" t="str">
        <f>IF(BA$3=0,"N.D.",BA23/BA$3)</f>
        <v>N.D.</v>
      </c>
      <c r="BC23" s="354">
        <f>AX23</f>
        <v>12380.312</v>
      </c>
      <c r="BD23" s="355">
        <f>IF(BC$3=0,"N.D.",BC23/BC$3)</f>
        <v>0.14544745717905</v>
      </c>
      <c r="BE23" s="354">
        <f>AX48</f>
        <v>11983.50843</v>
      </c>
      <c r="BF23" s="355">
        <f>IF(BE$3=0,"N.D.",BE23/BE$3)</f>
        <v>0.078864439941958</v>
      </c>
      <c r="BG23" s="354">
        <f>+BA23-BC23</f>
        <v>-12380.312</v>
      </c>
      <c r="BH23" s="356">
        <f>IF(BC23=0,"N.D.",BA23/BC23-1)</f>
        <v>-1</v>
      </c>
      <c r="BI23" s="354">
        <f>+BA23-BE23</f>
        <v>-11983.50843</v>
      </c>
      <c r="BJ23" s="356">
        <f>IF(BE23=0, "N.D.",BA23/BE23-1)</f>
        <v>-1</v>
      </c>
      <c r="BL23" s="344" t="s">
        <v>47</v>
      </c>
      <c r="BM23" s="354"/>
      <c r="BN23" s="355" t="str">
        <f>IF(BM$3=0,"N.D.",BM23/BM$3)</f>
        <v>0</v>
      </c>
      <c r="BO23" s="354">
        <f>BO19-BO21-BO22</f>
        <v>0</v>
      </c>
      <c r="BP23" s="355" t="str">
        <f>IF(BO$3=0,"N.D.",BO23/BO$3)</f>
        <v>N.D.</v>
      </c>
      <c r="BQ23" s="354">
        <f>BQ19-BQ21-BQ22</f>
        <v>0</v>
      </c>
      <c r="BR23" s="355" t="str">
        <f>IF(BQ$3=0,"N.D.",BQ23/BQ$3)</f>
        <v>N.D.</v>
      </c>
      <c r="BS23" s="354">
        <f>BS19-BS21-BS22</f>
        <v>0</v>
      </c>
      <c r="BT23" s="355" t="str">
        <f>IF(BS$3=0,"N.D.",BS23/BS$3)</f>
        <v>N.D.</v>
      </c>
      <c r="BU23" s="354">
        <f>BU19-BU21-BU22</f>
        <v>0</v>
      </c>
      <c r="BV23" s="355" t="str">
        <f>IF(BU$3=0,"N.D.",BU23/BU$3)</f>
        <v>N.D.</v>
      </c>
      <c r="BW23" s="354">
        <f>BW19-BW21-BW22</f>
        <v>0</v>
      </c>
      <c r="BX23" s="355" t="str">
        <f>IF(BW$3=0,"N.D.",BW23/BW$3)</f>
        <v>N.D.</v>
      </c>
      <c r="BY23" s="354">
        <f>BM23+BO23+BQ23+BS23+BU23+BW23</f>
        <v>0</v>
      </c>
      <c r="BZ23" s="355" t="str">
        <f>IF(BY$3=0,"N.D.",BY23/BY$3)</f>
        <v>N.D.</v>
      </c>
    </row>
    <row r="24" spans="1:78">
      <c r="B24" s="4" t="s">
        <v>47</v>
      </c>
      <c r="C24" s="14"/>
      <c r="D24" s="314"/>
      <c r="E24" s="317"/>
      <c r="F24" s="14">
        <f>TablasER!E28-TablasER!U24</f>
        <v>4029.72081</v>
      </c>
      <c r="G24" s="314">
        <f>IFERROR(F24/TablasER!U24,0)</f>
        <v>0</v>
      </c>
      <c r="H24" s="317"/>
      <c r="I24" s="214">
        <f>TablasER!G28-TablasER!W24</f>
        <v>2725.816026816</v>
      </c>
      <c r="J24" s="314">
        <f>IFERROR(I24/TablasER!W24,0)</f>
        <v>-3.7919117688434</v>
      </c>
      <c r="K24" s="317"/>
      <c r="L24" s="214">
        <f>TablasER!I28-TablasER!Y24</f>
        <v>-178.17239808</v>
      </c>
      <c r="M24" s="314">
        <f>IFERROR(L24/TablasER!Y24,0)</f>
        <v>-0.18248027010792</v>
      </c>
      <c r="N24" s="317"/>
      <c r="O24" s="214">
        <f>TablasER!K28-TablasER!AA24</f>
        <v>-11431.118055</v>
      </c>
      <c r="P24" s="314">
        <f>IFERROR(O24/TablasER!AA24,0)</f>
        <v>-0.65931604381237</v>
      </c>
      <c r="Q24" s="317"/>
      <c r="R24" s="214">
        <f>TablasER!M28-TablasER!AC24</f>
        <v>-110.29819</v>
      </c>
      <c r="S24" s="314">
        <f>IFERROR(R24/TablasER!AC24,0)</f>
        <v>-0.041653395015106</v>
      </c>
      <c r="T24" s="317"/>
      <c r="U24" s="214">
        <f>TablasER!O28-TablasER!AE24</f>
        <v>-4965.051806264</v>
      </c>
      <c r="V24" s="303">
        <f>IFERROR(U24/TablasER!AE24,0)</f>
        <v>-0.24526785704656</v>
      </c>
      <c r="Y24" s="4" t="s">
        <v>48</v>
      </c>
      <c r="AA24" s="239">
        <f>TablasER!AY25</f>
        <v>25381.555027128</v>
      </c>
      <c r="AB24" s="332">
        <f>IF($AA$4=0,"N.D.",AA24/$AA$4)</f>
        <v>0.094999052935203</v>
      </c>
      <c r="AD24" s="239">
        <f>AD12+AD10</f>
        <v>0</v>
      </c>
      <c r="AE24" s="332" t="str">
        <f>IF($AD$4=0,"N.D.",AD24/$AD$4)</f>
        <v>N.D.</v>
      </c>
      <c r="AG24" s="239">
        <f>TablasER!BA25</f>
        <v>23864.4442528</v>
      </c>
      <c r="AH24" s="332">
        <f>IF($AG$4=0,"N.D.",AG24/$AG$4)</f>
        <v>0.13125707303786</v>
      </c>
      <c r="AJ24" s="239">
        <f>AA24-AD24</f>
        <v>25381.555027128</v>
      </c>
      <c r="AK24" s="332">
        <f>IFERROR(IF(0&gt;AJ24,(IF(0&gt;AJ24,AJ24/-1,AJ24)/AD24)/-1,(IF(0&gt;AJ24,AJ24/-1,AJ24)/AD24)),0)</f>
        <v>0</v>
      </c>
      <c r="AM24" s="239">
        <f>AA24-AG24</f>
        <v>1517.110774328</v>
      </c>
      <c r="AN24" s="332">
        <f>IFERROR(IF(0&gt;AM24,(IF(0&gt;AM24,AM24/-1,AM24)/AG24)/-1,(IF(0&gt;AM24,AM24/-1,AM24)/AG24)),0)</f>
        <v>0.063572013588794</v>
      </c>
      <c r="AQ24" s="4" t="s">
        <v>48</v>
      </c>
      <c r="AR24" s="20"/>
      <c r="AS24" s="203">
        <f>(BDER_sig!D22+BDER_sig!D44+BDER_sig!D66+BDER_sig!D88+BDER_sig!D110+BDER_sig!D132)/1000</f>
        <v>0</v>
      </c>
      <c r="AT24" s="8">
        <f>(BDER_sig!D485+BDER_sig!D508+BDER_sig!D575+BDER_sig!D620)/1000</f>
        <v>88.809</v>
      </c>
      <c r="AU24" s="203">
        <f>(BDER_sig!D530+BDER_sig!D552+BDER_sig!D597+BDER_sig!D642+BDER_sig!D664)/1000</f>
        <v>70.115</v>
      </c>
      <c r="AV24" s="203">
        <f>(BDER_sig!D308+BDER_sig!D330+BDER_sig!D352+BDER_sig!D374)/1000</f>
        <v>11980.3</v>
      </c>
      <c r="AW24" s="203">
        <f>(BDER_sig!D440+BDER_sig!D462)/1000</f>
        <v>4639.515</v>
      </c>
      <c r="AX24" s="20">
        <f>SUM(AR24:AW24)</f>
        <v>16778.739</v>
      </c>
      <c r="AZ24" s="344" t="s">
        <v>48</v>
      </c>
      <c r="BA24" s="354">
        <f>BY49</f>
        <v>0</v>
      </c>
      <c r="BB24" s="355" t="str">
        <f>IF(BA$3=0,"N.D.",BA24/BA$3)</f>
        <v>N.D.</v>
      </c>
      <c r="BC24" s="354">
        <f>AX24</f>
        <v>16778.739</v>
      </c>
      <c r="BD24" s="355">
        <f>IF(BC$3=0,"N.D.",BC24/BC$3)</f>
        <v>0.19712143944522</v>
      </c>
      <c r="BE24" s="354">
        <f>AX49</f>
        <v>14303.58675</v>
      </c>
      <c r="BF24" s="355">
        <f>IF(BE$3=0,"N.D.",BE24/BE$3)</f>
        <v>0.094133063350293</v>
      </c>
      <c r="BG24" s="354">
        <f>+BA24-BC24</f>
        <v>-16778.739</v>
      </c>
      <c r="BH24" s="356">
        <f>IF(BC24=0,"N.D.",BA24/BC24-1)</f>
        <v>-1</v>
      </c>
      <c r="BI24" s="354">
        <f>+BA24-BE24</f>
        <v>-14303.58675</v>
      </c>
      <c r="BJ24" s="356">
        <f>IF(BE24=0, "N.D.",BA24/BE24-1)</f>
        <v>-1</v>
      </c>
      <c r="BL24" s="344" t="s">
        <v>48</v>
      </c>
      <c r="BM24" s="354"/>
      <c r="BN24" s="355" t="str">
        <f>IF(BM$3=0,"N.D.",BM24/BM$3)</f>
        <v>0</v>
      </c>
      <c r="BO24" s="354">
        <f>BO11+BO9</f>
        <v>0</v>
      </c>
      <c r="BP24" s="355" t="str">
        <f>IF(BO$3=0,"N.D.",BO24/BO$3)</f>
        <v>N.D.</v>
      </c>
      <c r="BQ24" s="354">
        <f>BQ11+BQ9</f>
        <v>0</v>
      </c>
      <c r="BR24" s="355" t="str">
        <f>IF(BQ$3=0,"N.D.",BQ24/BQ$3)</f>
        <v>N.D.</v>
      </c>
      <c r="BS24" s="354">
        <f>BS11+BS9</f>
        <v>0</v>
      </c>
      <c r="BT24" s="355" t="str">
        <f>IF(BS$3=0,"N.D.",BS24/BS$3)</f>
        <v>N.D.</v>
      </c>
      <c r="BU24" s="354">
        <f>BU11+BU9</f>
        <v>0</v>
      </c>
      <c r="BV24" s="355" t="str">
        <f>IF(BU$3=0,"N.D.",BU24/BU$3)</f>
        <v>N.D.</v>
      </c>
      <c r="BW24" s="354">
        <f>BW11+BW9</f>
        <v>0</v>
      </c>
      <c r="BX24" s="355" t="str">
        <f>IF(BW$3=0,"N.D.",BW24/BW$3)</f>
        <v>N.D.</v>
      </c>
      <c r="BY24" s="354">
        <f>BM24+BO24+BQ24+BS24+BU24+BW24</f>
        <v>0</v>
      </c>
      <c r="BZ24" s="355" t="str">
        <f>IF(BY$3=0,"N.D.",BY24/BY$3)</f>
        <v>N.D.</v>
      </c>
    </row>
    <row r="25" spans="1:78">
      <c r="B25" s="4" t="s">
        <v>48</v>
      </c>
      <c r="C25" s="14"/>
      <c r="D25" s="314"/>
      <c r="E25" s="317"/>
      <c r="F25" s="14">
        <f>TablasER!E29-TablasER!U25</f>
        <v>7270.53006</v>
      </c>
      <c r="G25" s="314">
        <f>IFERROR(F25/TablasER!U25,0)</f>
        <v>0</v>
      </c>
      <c r="H25" s="317"/>
      <c r="I25" s="214">
        <f>TablasER!G29-TablasER!W25</f>
        <v>2839.568796432</v>
      </c>
      <c r="J25" s="314">
        <f>IFERROR(I25/TablasER!W25,0)</f>
        <v>-4.2950331915935</v>
      </c>
      <c r="K25" s="317"/>
      <c r="L25" s="214">
        <f>TablasER!I29-TablasER!Y25</f>
        <v>217.958017896</v>
      </c>
      <c r="M25" s="314">
        <f>IFERROR(L25/TablasER!Y25,0)</f>
        <v>0.15248348072161</v>
      </c>
      <c r="N25" s="317"/>
      <c r="O25" s="214">
        <f>TablasER!K29-TablasER!AA25</f>
        <v>-8827.32983</v>
      </c>
      <c r="P25" s="314">
        <f>IFERROR(O25/TablasER!AA25,0)</f>
        <v>-0.43674479259306</v>
      </c>
      <c r="Q25" s="317"/>
      <c r="R25" s="214">
        <f>TablasER!M29-TablasER!AC25</f>
        <v>16.38373</v>
      </c>
      <c r="S25" s="314">
        <f>IFERROR(R25/TablasER!AC25,0)</f>
        <v>0.0056798375617342</v>
      </c>
      <c r="T25" s="317"/>
      <c r="U25" s="214">
        <f>TablasER!O29-TablasER!AE25</f>
        <v>1517.110774328</v>
      </c>
      <c r="V25" s="303">
        <f>IFERROR(U25/TablasER!AE25,0)</f>
        <v>0.063572013588794</v>
      </c>
    </row>
    <row r="26" spans="1:78">
      <c r="B26" s="26"/>
      <c r="C26" s="2"/>
      <c r="D26" s="301"/>
      <c r="E26" s="301"/>
      <c r="F26" s="2"/>
      <c r="G26" s="27"/>
      <c r="H26" s="27"/>
      <c r="I26" s="2"/>
      <c r="J26" s="27"/>
      <c r="K26" s="27"/>
      <c r="L26" s="2"/>
      <c r="M26" s="27"/>
      <c r="N26" s="27"/>
      <c r="O26" s="28"/>
      <c r="P26" s="27"/>
      <c r="Q26" s="27"/>
      <c r="R26" s="2"/>
      <c r="S26" s="27"/>
      <c r="T26" s="27"/>
      <c r="U26" s="2"/>
      <c r="V26" s="1"/>
      <c r="AQ26" s="26" t="s">
        <v>135</v>
      </c>
      <c r="AR26" s="25"/>
      <c r="AS26" s="25"/>
      <c r="AT26" s="25"/>
      <c r="AU26" s="25"/>
      <c r="AV26" s="25"/>
      <c r="AW26" s="25"/>
      <c r="AX26" s="25"/>
      <c r="BL26" t="s">
        <v>136</v>
      </c>
    </row>
    <row r="27" spans="1:78">
      <c r="A27" t="s">
        <v>137</v>
      </c>
      <c r="AQ27" s="25"/>
      <c r="AR27" s="2" t="s">
        <v>14</v>
      </c>
      <c r="AS27" s="2" t="s">
        <v>15</v>
      </c>
      <c r="AT27" s="2" t="s">
        <v>16</v>
      </c>
      <c r="AU27" s="2" t="s">
        <v>17</v>
      </c>
      <c r="AV27" s="340" t="s">
        <v>18</v>
      </c>
      <c r="AW27" s="2" t="s">
        <v>19</v>
      </c>
      <c r="AX27" s="2" t="s">
        <v>20</v>
      </c>
      <c r="BL27" s="347"/>
      <c r="BM27" s="361" t="s">
        <v>14</v>
      </c>
      <c r="BN27" s="362"/>
      <c r="BO27" s="361" t="s">
        <v>15</v>
      </c>
      <c r="BP27" s="362"/>
      <c r="BQ27" s="363" t="s">
        <v>16</v>
      </c>
      <c r="BR27" s="364"/>
      <c r="BS27" s="363" t="s">
        <v>17</v>
      </c>
      <c r="BT27" s="364"/>
      <c r="BU27" s="361" t="s">
        <v>18</v>
      </c>
      <c r="BV27" s="362"/>
      <c r="BW27" s="361" t="s">
        <v>19</v>
      </c>
      <c r="BX27" s="362"/>
      <c r="BY27" s="363" t="s">
        <v>20</v>
      </c>
      <c r="BZ27" s="365"/>
    </row>
    <row r="28" spans="1:78">
      <c r="C28" s="373" t="s">
        <v>14</v>
      </c>
      <c r="D28" s="373"/>
      <c r="E28" s="2"/>
      <c r="F28" s="373" t="s">
        <v>15</v>
      </c>
      <c r="G28" s="373"/>
      <c r="H28" s="2"/>
      <c r="I28" s="373" t="s">
        <v>16</v>
      </c>
      <c r="J28" s="373"/>
      <c r="K28" s="2"/>
      <c r="L28" s="373" t="s">
        <v>17</v>
      </c>
      <c r="M28" s="373"/>
      <c r="N28" s="2"/>
      <c r="O28" s="373" t="s">
        <v>18</v>
      </c>
      <c r="P28" s="373"/>
      <c r="Q28" s="2"/>
      <c r="R28" s="373" t="s">
        <v>60</v>
      </c>
      <c r="S28" s="373"/>
      <c r="T28" s="2"/>
      <c r="U28" s="373" t="s">
        <v>129</v>
      </c>
      <c r="V28" s="373"/>
      <c r="AQ28" s="7" t="s">
        <v>26</v>
      </c>
      <c r="AR28" s="8"/>
      <c r="AS28" s="8">
        <f>(BDER_sig!C4+BDER_sig!C26+BDER_sig!C48+BDER_sig!C70+BDER_sig!C92+BDER_sig!C114)/1000</f>
        <v>60286.26632</v>
      </c>
      <c r="AT28" s="8">
        <f>(BDER_sig!C466+BDER_sig!C489+BDER_sig!C556+BDER_sig!C601)/1000</f>
        <v>1407.65054</v>
      </c>
      <c r="AU28" s="8">
        <f>(BDER_sig!C512+BDER_sig!C534+BDER_sig!C579+BDER_sig!C624+BDER_sig!C646)/1000</f>
        <v>123.13365</v>
      </c>
      <c r="AV28" s="8">
        <f>(BDER_sig!C290+BDER_sig!C312+BDER_sig!C334+BDER_sig!C356)/1000</f>
        <v>84615.57228</v>
      </c>
      <c r="AW28" s="8">
        <f>(BDER_sig!C422+BDER_sig!C444)/1000</f>
        <v>5518.09719</v>
      </c>
      <c r="AX28" s="8">
        <f>SUM(AR28:AW28)</f>
        <v>151950.71998</v>
      </c>
      <c r="BL28" s="347" t="s">
        <v>26</v>
      </c>
      <c r="BM28" s="351"/>
      <c r="BN28" s="349" t="str">
        <f>IF(CC$3=0,"N.D.",BM28/CC$3)</f>
        <v>0</v>
      </c>
      <c r="BO28" s="351">
        <f>proyeccion!B18</f>
        <v>0</v>
      </c>
      <c r="BP28" s="349" t="str">
        <f>IF(CE$3=0,"N.D.",BO28/CE$3)</f>
        <v>0</v>
      </c>
      <c r="BQ28" s="351">
        <f>proyeccion!G18*TC_PROY_SIG</f>
        <v>0</v>
      </c>
      <c r="BR28" s="349" t="str">
        <f>IF(CG$3=0,"N.D.",BQ28/CG$3)</f>
        <v>0</v>
      </c>
      <c r="BS28" s="351">
        <f>proyeccion!H18*TC_PROY_SIG</f>
        <v>0</v>
      </c>
      <c r="BT28" s="349" t="str">
        <f>IF(CI$3=0,"N.D.",BS28/CI$3)</f>
        <v>0</v>
      </c>
      <c r="BU28" s="351">
        <f>proyeccion!E18</f>
        <v>0</v>
      </c>
      <c r="BV28" s="349" t="str">
        <f>IF(CK$3=0,"N.D.",BU28/CK$3)</f>
        <v>0</v>
      </c>
      <c r="BW28" s="351">
        <f>proyeccion!F18</f>
        <v>0</v>
      </c>
      <c r="BX28" s="349" t="str">
        <f>IF(CM$3=0,"N.D.",BW28/CM$3)</f>
        <v>0</v>
      </c>
      <c r="BY28" s="351">
        <f>BM28+BO28+BQ28+BS28+BU28+BW28</f>
        <v>0</v>
      </c>
      <c r="BZ28" s="349" t="str">
        <f>IF(CO$3=0,"N.D.",BY28/CO$3)</f>
        <v>0</v>
      </c>
    </row>
    <row r="29" spans="1:78">
      <c r="B29" s="26"/>
      <c r="C29" s="2" t="s">
        <v>129</v>
      </c>
      <c r="D29" s="308" t="s">
        <v>130</v>
      </c>
      <c r="E29" s="308"/>
      <c r="F29" s="2" t="s">
        <v>129</v>
      </c>
      <c r="G29" s="308" t="s">
        <v>130</v>
      </c>
      <c r="H29" s="308"/>
      <c r="I29" s="2" t="s">
        <v>129</v>
      </c>
      <c r="J29" s="308" t="s">
        <v>130</v>
      </c>
      <c r="K29" s="308"/>
      <c r="L29" s="2" t="s">
        <v>129</v>
      </c>
      <c r="M29" s="308" t="s">
        <v>130</v>
      </c>
      <c r="N29" s="308"/>
      <c r="O29" s="2" t="s">
        <v>129</v>
      </c>
      <c r="P29" s="309" t="s">
        <v>130</v>
      </c>
      <c r="Q29" s="309"/>
      <c r="R29" s="2" t="s">
        <v>129</v>
      </c>
      <c r="S29" s="308" t="s">
        <v>130</v>
      </c>
      <c r="T29" s="308"/>
      <c r="U29" s="2" t="s">
        <v>134</v>
      </c>
      <c r="V29" s="308" t="s">
        <v>130</v>
      </c>
      <c r="AQ29" s="7" t="s">
        <v>27</v>
      </c>
      <c r="AR29" s="8"/>
      <c r="AS29" s="8">
        <f>(BDER_sig!C5+BDER_sig!C27+BDER_sig!C49+BDER_sig!C71+BDER_sig!C93+BDER_sig!C115)/1000</f>
        <v>33560.20836</v>
      </c>
      <c r="AT29" s="8">
        <f>(BDER_sig!C467+BDER_sig!C490+BDER_sig!C557+BDER_sig!C602)/1000</f>
        <v>436.89956</v>
      </c>
      <c r="AU29" s="8">
        <f>(BDER_sig!C513+BDER_sig!C535+BDER_sig!C580+BDER_sig!C625+BDER_sig!C647)/1000</f>
        <v>0</v>
      </c>
      <c r="AV29" s="8">
        <f>(BDER_sig!C291+BDER_sig!C313+BDER_sig!C335+BDER_sig!C357)/1000</f>
        <v>52452.77627</v>
      </c>
      <c r="AW29" s="8">
        <f>(BDER_sig!C423+BDER_sig!C445)/1000</f>
        <v>3423.83168</v>
      </c>
      <c r="AX29" s="8">
        <f>SUM(AR29:AW29)</f>
        <v>89873.71587</v>
      </c>
      <c r="BL29" s="347" t="s">
        <v>27</v>
      </c>
      <c r="BM29" s="351"/>
      <c r="BN29" s="352" t="str">
        <f>IF(CC$3=0,"N.D.",BM29/CC$3)</f>
        <v>0</v>
      </c>
      <c r="BO29" s="351">
        <f>proyeccion!B19</f>
        <v>0</v>
      </c>
      <c r="BP29" s="352" t="str">
        <f>IF(CE$3=0,"N.D.",BO29/CE$3)</f>
        <v>0</v>
      </c>
      <c r="BQ29" s="351">
        <f>proyeccion!G19*TC_PROY_SIG</f>
        <v>0</v>
      </c>
      <c r="BR29" s="352" t="str">
        <f>IF(CG$3=0,"N.D.",BQ29/CG$3)</f>
        <v>0</v>
      </c>
      <c r="BS29" s="351">
        <f>proyeccion!H19*TC_PROY_SIG</f>
        <v>0</v>
      </c>
      <c r="BT29" s="352" t="str">
        <f>IF(CI$3=0,"N.D.",BS29/CI$3)</f>
        <v>0</v>
      </c>
      <c r="BU29" s="351">
        <f>proyeccion!E19</f>
        <v>0</v>
      </c>
      <c r="BV29" s="352" t="str">
        <f>IF(CK$3=0,"N.D.",BU29/CK$3)</f>
        <v>0</v>
      </c>
      <c r="BW29" s="351">
        <f>proyeccion!F19</f>
        <v>0</v>
      </c>
      <c r="BX29" s="352" t="str">
        <f>IF(CM$3=0,"N.D.",BW29/CM$3)</f>
        <v>0</v>
      </c>
      <c r="BY29" s="351">
        <f>BM29+BO29+BQ29+BS29+BU29+BW29</f>
        <v>0</v>
      </c>
      <c r="BZ29" s="352" t="str">
        <f>IF(CO$3=0,"N.D.",BY29/CO$3)</f>
        <v>0</v>
      </c>
    </row>
    <row r="30" spans="1:78">
      <c r="B30" s="7" t="s">
        <v>26</v>
      </c>
      <c r="C30" s="8"/>
      <c r="D30" s="310"/>
      <c r="E30" s="42"/>
      <c r="F30" s="8">
        <f>TablasERxDiv!AA5-BO3</f>
        <v>53292.74775</v>
      </c>
      <c r="G30" s="310">
        <f>IFERROR(F30/BO3,0)</f>
        <v>0</v>
      </c>
      <c r="H30" s="42"/>
      <c r="I30" s="204">
        <f>TablasER!G4-BQ3</f>
        <v>31876.853956344</v>
      </c>
      <c r="J30" s="310">
        <f>IFERROR(I30/BQ3,0)</f>
        <v>0</v>
      </c>
      <c r="K30" s="42"/>
      <c r="L30" s="204">
        <f>TablasER!I4-BS3</f>
        <v>2085.131576448</v>
      </c>
      <c r="M30" s="310">
        <f>IFERROR(L30/BT3,0)</f>
        <v>0</v>
      </c>
      <c r="N30" s="42"/>
      <c r="O30" s="204">
        <f>TablasERxDiv!AT5-BU3</f>
        <v>172515.283915</v>
      </c>
      <c r="P30" s="310">
        <f>IFERROR(O30/BU3,0)</f>
        <v>0</v>
      </c>
      <c r="Q30" s="42"/>
      <c r="R30" s="204">
        <f>TablasERxDiv!BC5-BW3</f>
        <v>7406.90976</v>
      </c>
      <c r="S30" s="310">
        <f>IFERROR(R30/BW3,0)</f>
        <v>0</v>
      </c>
      <c r="T30" s="42"/>
      <c r="U30" s="204">
        <f>C30+F30+I30+L30+O30+R30</f>
        <v>267176.92695779</v>
      </c>
      <c r="V30" s="29">
        <f>IFERROR(U30/BY3,0)</f>
        <v>0</v>
      </c>
      <c r="AQ30" s="4" t="s">
        <v>28</v>
      </c>
      <c r="AR30" s="14"/>
      <c r="AS30" s="8">
        <f>(BDER_sig!C6+BDER_sig!C28+BDER_sig!C50+BDER_sig!C72+BDER_sig!C94+BDER_sig!C116)/1000</f>
        <v>26726.05796</v>
      </c>
      <c r="AT30" s="8">
        <f>(BDER_sig!C469+BDER_sig!C492+BDER_sig!C559+BDER_sig!C604)/1000</f>
        <v>970.75098</v>
      </c>
      <c r="AU30" s="8">
        <f>(BDER_sig!C514+BDER_sig!C536+BDER_sig!C581+BDER_sig!C626+BDER_sig!C648)/1000</f>
        <v>123.13365</v>
      </c>
      <c r="AV30" s="8">
        <f>(BDER_sig!C292+BDER_sig!C314+BDER_sig!C336+BDER_sig!C358)/1000</f>
        <v>32162.79601</v>
      </c>
      <c r="AW30" s="8">
        <f>(BDER_sig!C424+BDER_sig!C446)/1000</f>
        <v>2094.26551</v>
      </c>
      <c r="AX30" s="14">
        <f>SUM(AR30:AW30)</f>
        <v>62077.00411</v>
      </c>
      <c r="BL30" s="344" t="s">
        <v>28</v>
      </c>
      <c r="BM30" s="354"/>
      <c r="BN30" s="355" t="str">
        <f>IF(CC$3=0,"N.D.",BM30/CC$3)</f>
        <v>0</v>
      </c>
      <c r="BO30" s="354">
        <f>BO28-BO29</f>
        <v>0</v>
      </c>
      <c r="BP30" s="355" t="str">
        <f>IF(CE$3=0,"N.D.",BO30/CE$3)</f>
        <v>0</v>
      </c>
      <c r="BQ30" s="354">
        <f>BQ28-BQ29</f>
        <v>0</v>
      </c>
      <c r="BR30" s="355" t="str">
        <f>IF(CG$3=0,"N.D.",BQ30/CG$3)</f>
        <v>0</v>
      </c>
      <c r="BS30" s="354">
        <f>BS28-BS29</f>
        <v>0</v>
      </c>
      <c r="BT30" s="355" t="str">
        <f>IF(CI$3=0,"N.D.",BS30/CI$3)</f>
        <v>0</v>
      </c>
      <c r="BU30" s="354">
        <f>BU28-BU29</f>
        <v>0</v>
      </c>
      <c r="BV30" s="355" t="str">
        <f>IF(CK$3=0,"N.D.",BU30/CK$3)</f>
        <v>0</v>
      </c>
      <c r="BW30" s="354">
        <f>BW28-BW29</f>
        <v>0</v>
      </c>
      <c r="BX30" s="355" t="str">
        <f>IF(CM$3=0,"N.D.",BW30/CM$3)</f>
        <v>0</v>
      </c>
      <c r="BY30" s="354">
        <f>BM30+BO30+BQ30+BS30+BU30+BW30</f>
        <v>0</v>
      </c>
      <c r="BZ30" s="355" t="str">
        <f>IF(CO$3=0,"N.D.",BY30/CO$3)</f>
        <v>0</v>
      </c>
    </row>
    <row r="31" spans="1:78">
      <c r="B31" s="7" t="s">
        <v>27</v>
      </c>
      <c r="C31" s="11"/>
      <c r="D31" s="44"/>
      <c r="E31" s="42"/>
      <c r="F31" s="11">
        <f>TablasERxDiv!AA6-BO4</f>
        <v>27361.20147</v>
      </c>
      <c r="G31" s="44">
        <f>IFERROR(F31/BO4,0)</f>
        <v>0</v>
      </c>
      <c r="H31" s="42"/>
      <c r="I31" s="206">
        <f>TablasER!G5-BQ4</f>
        <v>9568.09096884</v>
      </c>
      <c r="J31" s="44">
        <f>IFERROR(I31/BQ4,0)</f>
        <v>0</v>
      </c>
      <c r="K31" s="42"/>
      <c r="L31" s="206">
        <f>TablasER!I5-BS4</f>
        <v>0</v>
      </c>
      <c r="M31" s="44">
        <f>IFERROR(L31/BT4,0)</f>
        <v>0</v>
      </c>
      <c r="N31" s="42"/>
      <c r="O31" s="206">
        <f>TablasERxDiv!AT6-BU4</f>
        <v>131951.14122</v>
      </c>
      <c r="P31" s="44">
        <f>IFERROR(O31/BU4,0)</f>
        <v>0</v>
      </c>
      <c r="Q31" s="42"/>
      <c r="R31" s="206">
        <f>TablasERxDiv!BC6-BW4</f>
        <v>3876.13193</v>
      </c>
      <c r="S31" s="44">
        <f>IFERROR(R31/BW4,0)</f>
        <v>0</v>
      </c>
      <c r="T31" s="42"/>
      <c r="U31" s="206">
        <f>C31+F31+I31+L31+O31+R31</f>
        <v>172756.56558884</v>
      </c>
      <c r="V31" s="42">
        <f>IFERROR(U31/BY4,0)</f>
        <v>0</v>
      </c>
      <c r="AQ31" s="1"/>
      <c r="AX31" s="30"/>
      <c r="BL31" s="347"/>
      <c r="BM31" s="357"/>
      <c r="BN31" s="358"/>
      <c r="BO31" s="357"/>
      <c r="BP31" s="358"/>
      <c r="BQ31" s="357"/>
      <c r="BR31" s="358"/>
      <c r="BS31" s="357"/>
      <c r="BT31" s="358"/>
      <c r="BU31" s="357"/>
      <c r="BV31" s="358"/>
      <c r="BW31" s="357"/>
      <c r="BX31" s="358"/>
      <c r="BY31" s="357"/>
      <c r="BZ31" s="358"/>
    </row>
    <row r="32" spans="1:78">
      <c r="B32" s="4" t="s">
        <v>28</v>
      </c>
      <c r="C32" s="14"/>
      <c r="D32" s="311"/>
      <c r="E32" s="316"/>
      <c r="F32" s="14">
        <f>TablasERxDiv!AA7-BO5</f>
        <v>25931.54628</v>
      </c>
      <c r="G32" s="311">
        <f>IFERROR(F32/BO5,0)</f>
        <v>0</v>
      </c>
      <c r="H32" s="316"/>
      <c r="I32" s="214">
        <f>TablasER!G6-BQ5</f>
        <v>22308.762987504</v>
      </c>
      <c r="J32" s="311">
        <f>IFERROR(I32/BQ5,0)</f>
        <v>0</v>
      </c>
      <c r="K32" s="316"/>
      <c r="L32" s="214">
        <f>TablasER!I6-BS5</f>
        <v>2085.131576448</v>
      </c>
      <c r="M32" s="311">
        <f>IFERROR(L32/BT5,0)</f>
        <v>0</v>
      </c>
      <c r="N32" s="316"/>
      <c r="O32" s="214">
        <f>TablasERxDiv!AT7-BU5</f>
        <v>40564.142695</v>
      </c>
      <c r="P32" s="311">
        <f>IFERROR(O32/BU5,0)</f>
        <v>0</v>
      </c>
      <c r="Q32" s="316"/>
      <c r="R32" s="214">
        <f>TablasERxDiv!BC7-BW5</f>
        <v>3530.77783</v>
      </c>
      <c r="S32" s="311">
        <f>IFERROR(R32/BW5,0)</f>
        <v>0</v>
      </c>
      <c r="T32" s="316"/>
      <c r="U32" s="214">
        <f>C32+F32+I32+L32+O32+R32</f>
        <v>94420.361368952</v>
      </c>
      <c r="V32" s="43">
        <f>IFERROR(U32/BY5,0)</f>
        <v>0</v>
      </c>
      <c r="AQ32" s="7" t="s">
        <v>29</v>
      </c>
      <c r="AR32" s="203"/>
      <c r="AS32" s="8">
        <f>(BDER_sig!C7+BDER_sig!C29+BDER_sig!C51+BDER_sig!C73+BDER_sig!C95+BDER_sig!C117)/1000</f>
        <v>13623.67952</v>
      </c>
      <c r="AT32" s="8">
        <f>(BDER_sig!C470+BDER_sig!C493+BDER_sig!C560+BDER_sig!C605)/1000</f>
        <v>897.90668</v>
      </c>
      <c r="AU32" s="8">
        <f>(BDER_sig!C515+BDER_sig!C537+BDER_sig!C582+BDER_sig!C627+BDER_sig!C649)/1000</f>
        <v>28.15061</v>
      </c>
      <c r="AV32" s="8">
        <f>(BDER_sig!C293+BDER_sig!C315+BDER_sig!C337+BDER_sig!C359)/1000</f>
        <v>18576.08852</v>
      </c>
      <c r="AW32" s="8">
        <f>(BDER_sig!C425+BDER_sig!C447)/1000</f>
        <v>184.90103</v>
      </c>
      <c r="AX32" s="8">
        <f>SUM(AR32:AW32)</f>
        <v>33310.72636</v>
      </c>
      <c r="BL32" s="347" t="s">
        <v>29</v>
      </c>
      <c r="BM32" s="348"/>
      <c r="BN32" s="349" t="str">
        <f>IF(CC$3=0,"N.D.",BM32/CC$3)</f>
        <v>0</v>
      </c>
      <c r="BO32" s="348">
        <f>proyeccion!B20</f>
        <v>0</v>
      </c>
      <c r="BP32" s="349" t="str">
        <f>IF(CE$3=0,"N.D.",BO32/CE$3)</f>
        <v>0</v>
      </c>
      <c r="BQ32" s="348">
        <f>proyeccion!G20*TC_PROY_SIG</f>
        <v>0</v>
      </c>
      <c r="BR32" s="349" t="str">
        <f>IF(CG$3=0,"N.D.",BQ32/CG$3)</f>
        <v>0</v>
      </c>
      <c r="BS32" s="348">
        <f>proyeccion!H20*TC_PROY_SIG</f>
        <v>0</v>
      </c>
      <c r="BT32" s="349" t="str">
        <f>IF(CI$3=0,"N.D.",BS32/CI$3)</f>
        <v>0</v>
      </c>
      <c r="BU32" s="348">
        <f>proyeccion!E20</f>
        <v>0</v>
      </c>
      <c r="BV32" s="349" t="str">
        <f>IF(CK$3=0,"N.D.",BU32/CK$3)</f>
        <v>0</v>
      </c>
      <c r="BW32" s="348">
        <f>proyeccion!F20</f>
        <v>0</v>
      </c>
      <c r="BX32" s="349" t="str">
        <f>IF(CM$3=0,"N.D.",BW32/CM$3)</f>
        <v>0</v>
      </c>
      <c r="BY32" s="348">
        <f>BM32+BO32+BQ32+BS32+BU32+BW32</f>
        <v>0</v>
      </c>
      <c r="BZ32" s="349" t="str">
        <f>IF(CO$3=0,"N.D.",BY32/CO$3)</f>
        <v>0</v>
      </c>
    </row>
    <row r="33" spans="1:78">
      <c r="A33" s="307"/>
      <c r="B33" s="1"/>
      <c r="C33" s="30"/>
      <c r="D33" s="44"/>
      <c r="E33" s="44"/>
      <c r="F33" s="30"/>
      <c r="G33" s="44"/>
      <c r="H33" s="44"/>
      <c r="I33" s="30"/>
      <c r="J33" s="44"/>
      <c r="K33" s="44"/>
      <c r="L33" s="30"/>
      <c r="M33" s="44"/>
      <c r="N33" s="44"/>
      <c r="O33" s="30"/>
      <c r="P33" s="44"/>
      <c r="Q33" s="44"/>
      <c r="R33" s="30"/>
      <c r="S33" s="44"/>
      <c r="T33" s="44"/>
      <c r="U33" s="30"/>
      <c r="V33" s="44"/>
      <c r="AQ33" s="7" t="s">
        <v>30</v>
      </c>
      <c r="AR33" s="8"/>
      <c r="AS33" s="8">
        <f>(BDER_sig!C8+BDER_sig!C30+BDER_sig!C52+BDER_sig!C74+BDER_sig!C96+BDER_sig!C118)/1000</f>
        <v>8620.31577</v>
      </c>
      <c r="AT33" s="8">
        <f>(BDER_sig!C471+BDER_sig!C494+BDER_sig!C561+BDER_sig!C606)/1000</f>
        <v>48.72724</v>
      </c>
      <c r="AU33" s="8">
        <f>(BDER_sig!C516+BDER_sig!C538+BDER_sig!C583+BDER_sig!C628+BDER_sig!C650)/1000</f>
        <v>0.02335</v>
      </c>
      <c r="AV33" s="8">
        <f>(BDER_sig!C294+BDER_sig!C316+BDER_sig!C338+BDER_sig!C360)/1000</f>
        <v>5266.64323</v>
      </c>
      <c r="AW33" s="8">
        <f>(BDER_sig!C426+BDER_sig!C448)/1000</f>
        <v>526.98141</v>
      </c>
      <c r="AX33" s="11">
        <f>SUM(AR33:AW33)</f>
        <v>14462.691</v>
      </c>
      <c r="BL33" s="347" t="s">
        <v>30</v>
      </c>
      <c r="BM33" s="351"/>
      <c r="BN33" s="352" t="str">
        <f>IF(CC$3=0,"N.D.",BM33/CC$3)</f>
        <v>0</v>
      </c>
      <c r="BO33" s="351">
        <f>proyeccion!B21</f>
        <v>0</v>
      </c>
      <c r="BP33" s="352" t="str">
        <f>IF(CE$3=0,"N.D.",BO33/CE$3)</f>
        <v>0</v>
      </c>
      <c r="BQ33" s="351">
        <f>proyeccion!G21*TC_PROY_SIG</f>
        <v>0</v>
      </c>
      <c r="BR33" s="352" t="str">
        <f>IF(CG$3=0,"N.D.",BQ33/CG$3)</f>
        <v>0</v>
      </c>
      <c r="BS33" s="351">
        <f>proyeccion!H21*TC_PROY_SIG</f>
        <v>0</v>
      </c>
      <c r="BT33" s="352" t="str">
        <f>IF(CI$3=0,"N.D.",BS33/CI$3)</f>
        <v>0</v>
      </c>
      <c r="BU33" s="351">
        <f>proyeccion!E21</f>
        <v>0</v>
      </c>
      <c r="BV33" s="352" t="str">
        <f>IF(CK$3=0,"N.D.",BU33/CK$3)</f>
        <v>0</v>
      </c>
      <c r="BW33" s="351">
        <f>proyeccion!F21</f>
        <v>0</v>
      </c>
      <c r="BX33" s="352" t="str">
        <f>IF(CM$3=0,"N.D.",BW33/CM$3)</f>
        <v>0</v>
      </c>
      <c r="BY33" s="351">
        <f>BM33+BO33+BQ33+BS33+BU33+BW33</f>
        <v>0</v>
      </c>
      <c r="BZ33" s="352" t="str">
        <f>IF(CO$3=0,"N.D.",BY33/CO$3)</f>
        <v>0</v>
      </c>
    </row>
    <row r="34" spans="1:78">
      <c r="B34" s="7" t="s">
        <v>29</v>
      </c>
      <c r="C34" s="8"/>
      <c r="D34" s="310"/>
      <c r="E34" s="42"/>
      <c r="F34" s="8">
        <f>TablasERxDiv!AA9-BO7</f>
        <v>12855.634</v>
      </c>
      <c r="G34" s="310">
        <f>IFERROR(F34/BO7,0)</f>
        <v>0</v>
      </c>
      <c r="H34" s="42"/>
      <c r="I34" s="204">
        <f>TablasER!G8-BQ7</f>
        <v>19435.020953256</v>
      </c>
      <c r="J34" s="310">
        <f>IFERROR(I34/BQ7,0)</f>
        <v>0</v>
      </c>
      <c r="K34" s="42"/>
      <c r="L34" s="204">
        <f>TablasER!I8-BS7</f>
        <v>437.31276048</v>
      </c>
      <c r="M34" s="310">
        <f>IFERROR(L34/BT7,0)</f>
        <v>0</v>
      </c>
      <c r="N34" s="42"/>
      <c r="O34" s="204">
        <f>TablasERxDiv!AT9-BU7</f>
        <v>21332.510435</v>
      </c>
      <c r="P34" s="310">
        <f>IFERROR(O34/BU7,0)</f>
        <v>0</v>
      </c>
      <c r="Q34" s="42"/>
      <c r="R34" s="204">
        <f>TablasERxDiv!BC9-BW7</f>
        <v>48.372</v>
      </c>
      <c r="S34" s="310">
        <f>IFERROR(R34/BW7,0)</f>
        <v>0</v>
      </c>
      <c r="T34" s="42"/>
      <c r="U34" s="204">
        <f>C34+F34+I34+L34+O34+R34</f>
        <v>54108.850148736</v>
      </c>
      <c r="V34" s="29">
        <f>IFERROR(U34/BY7,0)</f>
        <v>0</v>
      </c>
      <c r="AQ34" s="7" t="s">
        <v>31</v>
      </c>
      <c r="AR34" s="8"/>
      <c r="AS34" s="8">
        <f>(BDER_sig!C9+BDER_sig!C31+BDER_sig!C53+BDER_sig!C75+BDER_sig!C97+BDER_sig!C119)/1000</f>
        <v>873.32461</v>
      </c>
      <c r="AT34" s="8">
        <f>(BDER_sig!C472+BDER_sig!C495+BDER_sig!C562+BDER_sig!C607)/1000</f>
        <v>15.52772</v>
      </c>
      <c r="AU34" s="8">
        <f>(BDER_sig!C517+BDER_sig!C539+BDER_sig!C584+BDER_sig!C629+BDER_sig!C651)/1000</f>
        <v>21.00241</v>
      </c>
      <c r="AV34" s="8">
        <f>(BDER_sig!C295+BDER_sig!C317+BDER_sig!C339+BDER_sig!C361)/1000</f>
        <v>1893.94029</v>
      </c>
      <c r="AW34" s="8">
        <f>(BDER_sig!C427+BDER_sig!C449)/1000</f>
        <v>31.05358</v>
      </c>
      <c r="AX34" s="11">
        <f>SUM(AR34:AW34)</f>
        <v>2834.84861</v>
      </c>
      <c r="BL34" s="347" t="s">
        <v>31</v>
      </c>
      <c r="BM34" s="351"/>
      <c r="BN34" s="352" t="str">
        <f>IF(CC$3=0,"N.D.",BM34/CC$3)</f>
        <v>0</v>
      </c>
      <c r="BO34" s="351">
        <f>proyeccion!B22</f>
        <v>0</v>
      </c>
      <c r="BP34" s="352" t="str">
        <f>IF(CE$3=0,"N.D.",BO34/CE$3)</f>
        <v>0</v>
      </c>
      <c r="BQ34" s="351">
        <f>proyeccion!G22*TC_PROY_SIG</f>
        <v>0</v>
      </c>
      <c r="BR34" s="352" t="str">
        <f>IF(CG$3=0,"N.D.",BQ34/CG$3)</f>
        <v>0</v>
      </c>
      <c r="BS34" s="351">
        <f>proyeccion!H22*TC_PROY_SIG</f>
        <v>0</v>
      </c>
      <c r="BT34" s="352" t="str">
        <f>IF(CI$3=0,"N.D.",BS34/CI$3)</f>
        <v>0</v>
      </c>
      <c r="BU34" s="351">
        <f>proyeccion!E22</f>
        <v>0</v>
      </c>
      <c r="BV34" s="352" t="str">
        <f>IF(CK$3=0,"N.D.",BU34/CK$3)</f>
        <v>0</v>
      </c>
      <c r="BW34" s="351">
        <f>proyeccion!F22</f>
        <v>0</v>
      </c>
      <c r="BX34" s="352" t="str">
        <f>IF(CM$3=0,"N.D.",BW34/CM$3)</f>
        <v>0</v>
      </c>
      <c r="BY34" s="351">
        <f>BM34+BO34+BQ34+BS34+BU34+BW34</f>
        <v>0</v>
      </c>
      <c r="BZ34" s="352" t="str">
        <f>IF(CO$3=0,"N.D.",BY34/CO$3)</f>
        <v>0</v>
      </c>
    </row>
    <row r="35" spans="1:78">
      <c r="B35" s="7" t="s">
        <v>30</v>
      </c>
      <c r="C35" s="11"/>
      <c r="D35" s="44"/>
      <c r="E35" s="42"/>
      <c r="F35" s="11">
        <f>TablasERxDiv!AA10-BO8</f>
        <v>5805.38222</v>
      </c>
      <c r="G35" s="44">
        <f>IFERROR(F35/BO8,0)</f>
        <v>0</v>
      </c>
      <c r="H35" s="42"/>
      <c r="I35" s="206">
        <f>TablasER!G9+TablasER!G14+TablasER!G15-BQ8</f>
        <v>695.301725016</v>
      </c>
      <c r="J35" s="44">
        <f>IFERROR(I35/BQ8,0)</f>
        <v>0</v>
      </c>
      <c r="K35" s="42"/>
      <c r="L35" s="206">
        <f>TablasER!I9+TablasER!I14+TablasER!I15-BS8</f>
        <v>0.473058072</v>
      </c>
      <c r="M35" s="44">
        <f>IFERROR(L35/BT8,0)</f>
        <v>0</v>
      </c>
      <c r="N35" s="42"/>
      <c r="O35" s="206">
        <f>TablasERxDiv!AT10-BU8</f>
        <v>7847.31909</v>
      </c>
      <c r="P35" s="44">
        <f>IFERROR(O35/BU8,0)</f>
        <v>0</v>
      </c>
      <c r="Q35" s="42"/>
      <c r="R35" s="206">
        <f>TablasERxDiv!BC10-BW8</f>
        <v>581.4801</v>
      </c>
      <c r="S35" s="44">
        <f>IFERROR(R35/BW8,0)</f>
        <v>0</v>
      </c>
      <c r="T35" s="42"/>
      <c r="U35" s="206">
        <f>C35+F35+I35+L35+O35+R35</f>
        <v>14929.956193088</v>
      </c>
      <c r="V35" s="42">
        <f>IFERROR(U35/BY8,0)</f>
        <v>0</v>
      </c>
      <c r="AQ35" s="4" t="s">
        <v>32</v>
      </c>
      <c r="AR35" s="14"/>
      <c r="AS35" s="8">
        <f>(BDER_sig!C10+BDER_sig!C32+BDER_sig!C54+BDER_sig!C76+BDER_sig!C98+BDER_sig!C120)/1000</f>
        <v>23117.3199</v>
      </c>
      <c r="AT35" s="8">
        <f>(BDER_sig!C473+BDER_sig!C496+BDER_sig!C563+BDER_sig!C608)/1000</f>
        <v>962.16164</v>
      </c>
      <c r="AU35" s="8">
        <f>(BDER_sig!C518+BDER_sig!C540+BDER_sig!C585+BDER_sig!C630+BDER_sig!C652)/1000</f>
        <v>49.17637</v>
      </c>
      <c r="AV35" s="8">
        <f>(BDER_sig!C296+BDER_sig!C318+BDER_sig!C340+BDER_sig!C362)/1000</f>
        <v>25736.67204</v>
      </c>
      <c r="AW35" s="8">
        <f>(BDER_sig!C428+BDER_sig!C450)/1000</f>
        <v>742.93602</v>
      </c>
      <c r="AX35" s="14">
        <f>SUM(AR35:AW35)</f>
        <v>50608.26597</v>
      </c>
      <c r="BL35" s="344" t="s">
        <v>32</v>
      </c>
      <c r="BM35" s="354"/>
      <c r="BN35" s="355" t="str">
        <f>IF(CC$3=0,"N.D.",BM35/CC$3)</f>
        <v>0</v>
      </c>
      <c r="BO35" s="354">
        <f>BO32+BO33+BO34</f>
        <v>0</v>
      </c>
      <c r="BP35" s="355" t="str">
        <f>IF(CE$3=0,"N.D.",BO35/CE$3)</f>
        <v>0</v>
      </c>
      <c r="BQ35" s="354">
        <f>BQ32+BQ33+BQ34</f>
        <v>0</v>
      </c>
      <c r="BR35" s="355" t="str">
        <f>IF(CG$3=0,"N.D.",BQ35/CG$3)</f>
        <v>0</v>
      </c>
      <c r="BS35" s="354">
        <f>BS32+BS33+BS34</f>
        <v>0</v>
      </c>
      <c r="BT35" s="355" t="str">
        <f>IF(CI$3=0,"N.D.",BS35/CI$3)</f>
        <v>0</v>
      </c>
      <c r="BU35" s="354">
        <f>BU32+BU33+BU34</f>
        <v>0</v>
      </c>
      <c r="BV35" s="355" t="str">
        <f>IF(CK$3=0,"N.D.",BU35/CK$3)</f>
        <v>0</v>
      </c>
      <c r="BW35" s="354">
        <f>BW32+BW33+BW34</f>
        <v>0</v>
      </c>
      <c r="BX35" s="355" t="str">
        <f>IF(CM$3=0,"N.D.",BW35/CM$3)</f>
        <v>0</v>
      </c>
      <c r="BY35" s="354">
        <f>BM35+BO35+BQ35+BS35+BU35+BW35</f>
        <v>0</v>
      </c>
      <c r="BZ35" s="355" t="str">
        <f>IF(CO$3=0,"N.D.",BY35/CO$3)</f>
        <v>0</v>
      </c>
    </row>
    <row r="36" spans="1:78">
      <c r="B36" s="7" t="s">
        <v>31</v>
      </c>
      <c r="C36" s="34"/>
      <c r="D36" s="44"/>
      <c r="E36" s="42"/>
      <c r="F36" s="34">
        <f>TablasERxDiv!AA11-BO9</f>
        <v>910.51363</v>
      </c>
      <c r="G36" s="44">
        <f>IFERROR(F36/BO9,0)</f>
        <v>0</v>
      </c>
      <c r="H36" s="42"/>
      <c r="I36" s="207">
        <f>TablasER!G10-BQ9</f>
        <v>376.417707912</v>
      </c>
      <c r="J36" s="44">
        <f>IFERROR(I36/BQ9,0)</f>
        <v>0</v>
      </c>
      <c r="K36" s="42"/>
      <c r="L36" s="207">
        <f>TablasER!I10-BS9</f>
        <v>609.258549384</v>
      </c>
      <c r="M36" s="44">
        <f>IFERROR(L36/BT9,0)</f>
        <v>0</v>
      </c>
      <c r="N36" s="42"/>
      <c r="O36" s="207">
        <f>TablasERxDiv!AT11-BU9</f>
        <v>1941.80396</v>
      </c>
      <c r="P36" s="44">
        <f>IFERROR(O36/BU9,0)</f>
        <v>0</v>
      </c>
      <c r="Q36" s="42"/>
      <c r="R36" s="207">
        <f>TablasERxDiv!BC11-BW9</f>
        <v>31.92541</v>
      </c>
      <c r="S36" s="44">
        <f>IFERROR(R36/BW9,0)</f>
        <v>0</v>
      </c>
      <c r="T36" s="42"/>
      <c r="U36" s="207">
        <f>C36+F36+I36+L36+O36+R36</f>
        <v>3869.919257296</v>
      </c>
      <c r="V36" s="42">
        <f>IFERROR(U36/BY9,0)</f>
        <v>0</v>
      </c>
      <c r="AQ36" s="4" t="s">
        <v>33</v>
      </c>
      <c r="AR36" s="20"/>
      <c r="AS36" s="8">
        <f>(BDER_sig!C11+BDER_sig!C33+BDER_sig!C55+BDER_sig!C77+BDER_sig!C99+BDER_sig!C121)/1000</f>
        <v>3608.73806</v>
      </c>
      <c r="AT36" s="8">
        <f>(BDER_sig!C474+BDER_sig!C497+BDER_sig!C564+BDER_sig!C609)/1000</f>
        <v>8.58934</v>
      </c>
      <c r="AU36" s="8">
        <f>(BDER_sig!C519+BDER_sig!C541+BDER_sig!C586+BDER_sig!C631+BDER_sig!C653)/1000</f>
        <v>73.95728</v>
      </c>
      <c r="AV36" s="8">
        <f>(BDER_sig!C297+BDER_sig!C319+BDER_sig!C341+BDER_sig!C363)/1000</f>
        <v>6426.12397</v>
      </c>
      <c r="AW36" s="8">
        <f>(BDER_sig!C429+BDER_sig!C451)/1000</f>
        <v>1351.32949</v>
      </c>
      <c r="AX36" s="20">
        <f>SUM(AR36:AW36)</f>
        <v>11468.73814</v>
      </c>
      <c r="BL36" s="344" t="s">
        <v>33</v>
      </c>
      <c r="BM36" s="354"/>
      <c r="BN36" s="355" t="str">
        <f>IF(CC$3=0,"N.D.",BM36/CC$3)</f>
        <v>0</v>
      </c>
      <c r="BO36" s="354">
        <f>BO30-BO35</f>
        <v>0</v>
      </c>
      <c r="BP36" s="355" t="str">
        <f>IF(CE$3=0,"N.D.",BO36/CE$3)</f>
        <v>0</v>
      </c>
      <c r="BQ36" s="354">
        <f>BQ30-BQ35</f>
        <v>0</v>
      </c>
      <c r="BR36" s="355" t="str">
        <f>IF(CG$3=0,"N.D.",BQ36/CG$3)</f>
        <v>0</v>
      </c>
      <c r="BS36" s="354">
        <f>BS30-BS35</f>
        <v>0</v>
      </c>
      <c r="BT36" s="355" t="str">
        <f>IF(CI$3=0,"N.D.",BS36/CI$3)</f>
        <v>0</v>
      </c>
      <c r="BU36" s="354">
        <f>BU30-BU35</f>
        <v>0</v>
      </c>
      <c r="BV36" s="355" t="str">
        <f>IF(CK$3=0,"N.D.",BU36/CK$3)</f>
        <v>0</v>
      </c>
      <c r="BW36" s="354">
        <f>BW30-BW35</f>
        <v>0</v>
      </c>
      <c r="BX36" s="355" t="str">
        <f>IF(CM$3=0,"N.D.",BW36/CM$3)</f>
        <v>0</v>
      </c>
      <c r="BY36" s="354">
        <f>BM36+BO36+BQ36+BS36+BU36+BW36</f>
        <v>0</v>
      </c>
      <c r="BZ36" s="355" t="str">
        <f>IF(CO$3=0,"N.D.",BY36/CO$3)</f>
        <v>0</v>
      </c>
    </row>
    <row r="37" spans="1:78">
      <c r="B37" s="4" t="s">
        <v>32</v>
      </c>
      <c r="C37" s="214"/>
      <c r="D37" s="312"/>
      <c r="E37" s="316"/>
      <c r="F37" s="14">
        <f>F34+F35+F36</f>
        <v>19571.52985</v>
      </c>
      <c r="G37" s="312">
        <f>IFERROR(F37/BO10,0)</f>
        <v>0</v>
      </c>
      <c r="H37" s="316"/>
      <c r="I37" s="214">
        <f>I34+I35+I36</f>
        <v>20506.740386184</v>
      </c>
      <c r="J37" s="312">
        <f>IFERROR(I37/BQ10,0)</f>
        <v>0</v>
      </c>
      <c r="K37" s="316"/>
      <c r="L37" s="214">
        <f>L34+L35+L36</f>
        <v>1047.044367936</v>
      </c>
      <c r="M37" s="312">
        <f>IFERROR(L37/BT10,0)</f>
        <v>0</v>
      </c>
      <c r="N37" s="316"/>
      <c r="O37" s="214">
        <f>TablasERxDiv!AT12-BU10</f>
        <v>31121.633485</v>
      </c>
      <c r="P37" s="312">
        <f>IFERROR(O37/BU10,0)</f>
        <v>0</v>
      </c>
      <c r="Q37" s="316"/>
      <c r="R37" s="214">
        <f>R34+R35+R36</f>
        <v>661.77751</v>
      </c>
      <c r="S37" s="312">
        <f>IFERROR(R37/BW10,0)</f>
        <v>0</v>
      </c>
      <c r="T37" s="316"/>
      <c r="U37" s="214">
        <f>C37+F37+I37+L37+O37+R37</f>
        <v>72908.72559912</v>
      </c>
      <c r="V37" s="306">
        <f>IFERROR(U37/BY10,0)</f>
        <v>0</v>
      </c>
      <c r="AQ37" s="1"/>
      <c r="AX37" s="30"/>
      <c r="BL37" s="347"/>
      <c r="BM37" s="357"/>
      <c r="BN37" s="358"/>
      <c r="BO37" s="357"/>
      <c r="BP37" s="358"/>
      <c r="BQ37" s="357"/>
      <c r="BR37" s="358"/>
      <c r="BS37" s="357"/>
      <c r="BT37" s="358"/>
      <c r="BU37" s="357"/>
      <c r="BV37" s="358"/>
      <c r="BW37" s="357"/>
      <c r="BX37" s="358"/>
      <c r="BY37" s="357"/>
      <c r="BZ37" s="358"/>
    </row>
    <row r="38" spans="1:78">
      <c r="B38" s="4" t="s">
        <v>33</v>
      </c>
      <c r="C38" s="14"/>
      <c r="D38" s="311"/>
      <c r="E38" s="316"/>
      <c r="F38" s="14">
        <f>TablasERxDiv!AA13-BO11</f>
        <v>6360.01643</v>
      </c>
      <c r="G38" s="311">
        <f>IFERROR(F38/BO11,0)</f>
        <v>0</v>
      </c>
      <c r="H38" s="316"/>
      <c r="I38" s="214">
        <f>TablasER!$G$16-BQ11</f>
        <v>1802.02260132</v>
      </c>
      <c r="J38" s="311">
        <f>IFERROR(I38/BQ11,0)</f>
        <v>0</v>
      </c>
      <c r="K38" s="316"/>
      <c r="L38" s="214">
        <f>TablasER!$I$16-BS11</f>
        <v>1038.087208512</v>
      </c>
      <c r="M38" s="311">
        <f>IFERROR(L38/BT11,0)</f>
        <v>0</v>
      </c>
      <c r="N38" s="316"/>
      <c r="O38" s="214">
        <f>TablasERxDiv!AT13-BU11</f>
        <v>9442.50921</v>
      </c>
      <c r="P38" s="311">
        <f>IFERROR(O38/BU11,0)</f>
        <v>0</v>
      </c>
      <c r="Q38" s="316"/>
      <c r="R38" s="214">
        <f>TablasERxDiv!BC13-BW11</f>
        <v>2869.00032</v>
      </c>
      <c r="S38" s="311">
        <f>IFERROR(R38/BW11,0)</f>
        <v>0</v>
      </c>
      <c r="T38" s="316"/>
      <c r="U38" s="214">
        <f>C38+F38+I38+L38+O38+R38</f>
        <v>21511.635769832</v>
      </c>
      <c r="V38" s="43">
        <f>IFERROR(U38/BY11,0)</f>
        <v>0</v>
      </c>
      <c r="AQ38" s="7" t="s">
        <v>36</v>
      </c>
      <c r="AR38" s="34"/>
      <c r="AS38" s="8">
        <f>(BDER_sig!C12+BDER_sig!C34+BDER_sig!C56+BDER_sig!C78+BDER_sig!C100+BDER_sig!C122)/1000</f>
        <v>446.57601</v>
      </c>
      <c r="AT38" s="8">
        <f>(BDER_sig!C475+BDER_sig!C498+BDER_sig!C565+BDER_sig!C610)/1000</f>
        <v>0</v>
      </c>
      <c r="AU38" s="8">
        <f>(BDER_sig!C520+BDER_sig!C542+BDER_sig!C587+BDER_sig!C632+BDER_sig!C654)/1000</f>
        <v>0</v>
      </c>
      <c r="AV38" s="8">
        <f>(BDER_sig!C298+BDER_sig!C320+BDER_sig!C342+BDER_sig!C364)/1000</f>
        <v>-0.8038</v>
      </c>
      <c r="AW38" s="8">
        <f>(BDER_sig!C430+BDER_sig!C452)/1000</f>
        <v>118.97197</v>
      </c>
      <c r="AX38" s="8">
        <f>SUM(AR38:AW38)</f>
        <v>564.74418</v>
      </c>
      <c r="BL38" s="347" t="s">
        <v>36</v>
      </c>
      <c r="BM38" s="348"/>
      <c r="BN38" s="349" t="str">
        <f>IF(CC$3=0,"N.D.",BM38/CC$3)</f>
        <v>0</v>
      </c>
      <c r="BO38" s="348">
        <f>proyeccion!B23</f>
        <v>0</v>
      </c>
      <c r="BP38" s="349" t="str">
        <f>IF(CE$3=0,"N.D.",BO38/CE$3)</f>
        <v>0</v>
      </c>
      <c r="BQ38" s="348">
        <f>proyeccion!G23*TC_PROY_SIG</f>
        <v>0</v>
      </c>
      <c r="BR38" s="349" t="str">
        <f>IF(CG$3=0,"N.D.",BQ38/CG$3)</f>
        <v>0</v>
      </c>
      <c r="BS38" s="348">
        <f>proyeccion!H23*TC_PROY_SIG</f>
        <v>0</v>
      </c>
      <c r="BT38" s="349" t="str">
        <f>IF(CI$3=0,"N.D.",BS38/CI$3)</f>
        <v>0</v>
      </c>
      <c r="BU38" s="348">
        <f>proyeccion!E23</f>
        <v>0</v>
      </c>
      <c r="BV38" s="349" t="str">
        <f>IF(CK$3=0,"N.D.",BU38/CK$3)</f>
        <v>0</v>
      </c>
      <c r="BW38" s="348">
        <f>proyeccion!F23</f>
        <v>0</v>
      </c>
      <c r="BX38" s="349" t="str">
        <f>IF(CM$3=0,"N.D.",BW38/CM$3)</f>
        <v>0</v>
      </c>
      <c r="BY38" s="348">
        <f>BM38+BO38+BQ38+BS38+BU38+BW38</f>
        <v>0</v>
      </c>
      <c r="BZ38" s="349" t="str">
        <f>IF(CO$3=0,"N.D.",BY38/CO$3)</f>
        <v>0</v>
      </c>
    </row>
    <row r="39" spans="1:78">
      <c r="A39" s="307"/>
      <c r="B39" s="1"/>
      <c r="C39" s="30"/>
      <c r="D39" s="44"/>
      <c r="E39" s="44"/>
      <c r="F39" s="30"/>
      <c r="G39" s="44"/>
      <c r="H39" s="44"/>
      <c r="I39" s="30"/>
      <c r="J39" s="44"/>
      <c r="K39" s="44"/>
      <c r="L39" s="30"/>
      <c r="M39" s="44"/>
      <c r="N39" s="44"/>
      <c r="O39" s="30"/>
      <c r="P39" s="44"/>
      <c r="Q39" s="44"/>
      <c r="R39" s="30"/>
      <c r="S39" s="44"/>
      <c r="T39" s="44"/>
      <c r="U39" s="30"/>
      <c r="V39" s="44"/>
      <c r="AQ39" s="7" t="s">
        <v>38</v>
      </c>
      <c r="AR39" s="8"/>
      <c r="AS39" s="8">
        <f>(BDER_sig!C13+BDER_sig!C35+BDER_sig!C57+BDER_sig!C79+BDER_sig!C101+BDER_sig!C123)/1000</f>
        <v>-233.15266</v>
      </c>
      <c r="AT39" s="8">
        <f>(BDER_sig!C476+BDER_sig!C499+BDER_sig!C566+BDER_sig!C611)/1000</f>
        <v>-6.39354</v>
      </c>
      <c r="AU39" s="8">
        <f>(BDER_sig!C521+BDER_sig!C543+BDER_sig!C588+BDER_sig!C633+BDER_sig!C655)/1000</f>
        <v>0.1198</v>
      </c>
      <c r="AV39" s="8">
        <f>(BDER_sig!C299+BDER_sig!C321+BDER_sig!C343+BDER_sig!C365)/1000</f>
        <v>-4112.37645</v>
      </c>
      <c r="AW39" s="8">
        <f>(BDER_sig!C431+BDER_sig!C453)/1000</f>
        <v>-18.501</v>
      </c>
      <c r="AX39" s="11">
        <f>SUM(AR39:AW39)</f>
        <v>-4370.30385</v>
      </c>
      <c r="BL39" s="347" t="s">
        <v>38</v>
      </c>
      <c r="BM39" s="351"/>
      <c r="BN39" s="352" t="str">
        <f>IF(CC$3=0,"N.D.",BM39/CC$3)</f>
        <v>0</v>
      </c>
      <c r="BO39" s="351">
        <f>proyeccion!B24</f>
        <v>0</v>
      </c>
      <c r="BP39" s="352" t="str">
        <f>IF(CE$3=0,"N.D.",BO39/CE$3)</f>
        <v>0</v>
      </c>
      <c r="BQ39" s="351">
        <f>proyeccion!G24*TC_PROY_SIG</f>
        <v>0</v>
      </c>
      <c r="BR39" s="352" t="str">
        <f>IF(CG$3=0,"N.D.",BQ39/CG$3)</f>
        <v>0</v>
      </c>
      <c r="BS39" s="351">
        <f>proyeccion!H24*TC_PROY_SIG</f>
        <v>0</v>
      </c>
      <c r="BT39" s="352" t="str">
        <f>IF(CI$3=0,"N.D.",BS39/CI$3)</f>
        <v>0</v>
      </c>
      <c r="BU39" s="351">
        <f>proyeccion!E24</f>
        <v>0</v>
      </c>
      <c r="BV39" s="352" t="str">
        <f>IF(CK$3=0,"N.D.",BU39/CK$3)</f>
        <v>0</v>
      </c>
      <c r="BW39" s="351">
        <f>proyeccion!F24</f>
        <v>0</v>
      </c>
      <c r="BX39" s="352" t="str">
        <f>IF(CM$3=0,"N.D.",BW39/CM$3)</f>
        <v>0</v>
      </c>
      <c r="BY39" s="351">
        <f>BM39+BO39+BQ39+BS39+BU39+BW39</f>
        <v>0</v>
      </c>
      <c r="BZ39" s="352" t="str">
        <f>IF(CO$3=0,"N.D.",BY39/CO$3)</f>
        <v>0</v>
      </c>
    </row>
    <row r="40" spans="1:78">
      <c r="B40" s="7" t="s">
        <v>36</v>
      </c>
      <c r="C40" s="8"/>
      <c r="D40" s="313"/>
      <c r="E40" s="302"/>
      <c r="F40" s="8">
        <f>TablasERxDiv!AA15-BO13</f>
        <v>166.32413</v>
      </c>
      <c r="G40" s="313">
        <f>IFERROR(F40/BO13,0)</f>
        <v>0</v>
      </c>
      <c r="H40" s="302"/>
      <c r="I40" s="204">
        <f>TablasER!G18-BQ13</f>
        <v>0</v>
      </c>
      <c r="J40" s="313">
        <f>IFERROR(I40/BQ13,0)</f>
        <v>0</v>
      </c>
      <c r="K40" s="302"/>
      <c r="L40" s="204">
        <f>TablasER!I18-BS13</f>
        <v>0</v>
      </c>
      <c r="M40" s="313">
        <f>IFERROR(L40/BT13,0)</f>
        <v>0</v>
      </c>
      <c r="N40" s="302"/>
      <c r="O40" s="204">
        <f>TablasERxDiv!AT15-BU13</f>
        <v>754.73523</v>
      </c>
      <c r="P40" s="313">
        <f>IFERROR(O40/BU13,0)</f>
        <v>0</v>
      </c>
      <c r="Q40" s="302"/>
      <c r="R40" s="204">
        <f>TablasERxDiv!BC15-BW13</f>
        <v>17.21902</v>
      </c>
      <c r="S40" s="313">
        <f>IFERROR(R40/BW13,0)</f>
        <v>0</v>
      </c>
      <c r="T40" s="302"/>
      <c r="U40" s="204">
        <f>C40+F40+I40+L40+O40+R40</f>
        <v>938.27838</v>
      </c>
      <c r="V40" s="137">
        <f>IFERROR(U40/BY13,0)</f>
        <v>0</v>
      </c>
      <c r="AQ40" s="7" t="s">
        <v>39</v>
      </c>
      <c r="AR40" s="8"/>
      <c r="AS40" s="8">
        <f>(BDER_sig!C14+BDER_sig!C36+BDER_sig!C58+BDER_sig!C80+BDER_sig!C102+BDER_sig!C124)/1000</f>
        <v>465.50351</v>
      </c>
      <c r="AT40" s="8">
        <f>(BDER_sig!C477+BDER_sig!C500+BDER_sig!C567+BDER_sig!C612)/1000</f>
        <v>3.69725</v>
      </c>
      <c r="AU40" s="8">
        <f>(BDER_sig!C522+BDER_sig!C544+BDER_sig!C589+BDER_sig!C634+BDER_sig!C656)/1000</f>
        <v>27.66055</v>
      </c>
      <c r="AV40" s="8">
        <f>(BDER_sig!C300+BDER_sig!C322+BDER_sig!C344+BDER_sig!C366)/1000</f>
        <v>159.5116</v>
      </c>
      <c r="AW40" s="8">
        <f>(BDER_sig!C432+BDER_sig!C454)/1000</f>
        <v>4.86628</v>
      </c>
      <c r="AX40" s="11">
        <f>SUM(AR40:AW40)</f>
        <v>661.23919</v>
      </c>
      <c r="BL40" s="347" t="s">
        <v>39</v>
      </c>
      <c r="BM40" s="351"/>
      <c r="BN40" s="352" t="str">
        <f>IF(CC$3=0,"N.D.",BM40/CC$3)</f>
        <v>0</v>
      </c>
      <c r="BO40" s="351">
        <f>proyeccion!B25</f>
        <v>0</v>
      </c>
      <c r="BP40" s="352" t="str">
        <f>IF(CE$3=0,"N.D.",BO40/CE$3)</f>
        <v>0</v>
      </c>
      <c r="BQ40" s="351">
        <f>proyeccion!G25*TC_PROY_SIG</f>
        <v>0</v>
      </c>
      <c r="BR40" s="352" t="str">
        <f>IF(CG$3=0,"N.D.",BQ40/CG$3)</f>
        <v>0</v>
      </c>
      <c r="BS40" s="351">
        <f>proyeccion!H25*TC_PROY_SIG</f>
        <v>0</v>
      </c>
      <c r="BT40" s="352" t="str">
        <f>IF(CI$3=0,"N.D.",BS40/CI$3)</f>
        <v>0</v>
      </c>
      <c r="BU40" s="351">
        <f>proyeccion!E25</f>
        <v>0</v>
      </c>
      <c r="BV40" s="352" t="str">
        <f>IF(CK$3=0,"N.D.",BU40/CK$3)</f>
        <v>0</v>
      </c>
      <c r="BW40" s="351">
        <f>proyeccion!F25</f>
        <v>0</v>
      </c>
      <c r="BX40" s="352" t="str">
        <f>IF(CM$3=0,"N.D.",BW40/CM$3)</f>
        <v>0</v>
      </c>
      <c r="BY40" s="351">
        <f>BM40+BO40+BQ40+BS40+BU40+BW40</f>
        <v>0</v>
      </c>
      <c r="BZ40" s="352" t="str">
        <f>IF(CO$3=0,"N.D.",BY40/CO$3)</f>
        <v>0</v>
      </c>
    </row>
    <row r="41" spans="1:78">
      <c r="B41" s="7" t="s">
        <v>38</v>
      </c>
      <c r="C41" s="11"/>
      <c r="D41" s="304"/>
      <c r="E41" s="302"/>
      <c r="F41" s="11">
        <f>TablasERxDiv!AA16-BO14</f>
        <v>-250.72368</v>
      </c>
      <c r="G41" s="304">
        <f>IFERROR(F41/BO14,0)</f>
        <v>0</v>
      </c>
      <c r="H41" s="302"/>
      <c r="I41" s="206">
        <f>TablasER!G19-BQ14</f>
        <v>-204.943359096</v>
      </c>
      <c r="J41" s="304">
        <f>IFERROR(I41/BQ14,0)</f>
        <v>0</v>
      </c>
      <c r="K41" s="302"/>
      <c r="L41" s="206">
        <f>TablasER!I19-BS14</f>
        <v>0</v>
      </c>
      <c r="M41" s="304">
        <f>IFERROR(L41/BT14,0)</f>
        <v>0</v>
      </c>
      <c r="N41" s="302"/>
      <c r="O41" s="206">
        <f>TablasERxDiv!AT16-BU14</f>
        <v>-1365.88741</v>
      </c>
      <c r="P41" s="304">
        <f>IFERROR(O41/BU14,0)</f>
        <v>0</v>
      </c>
      <c r="Q41" s="302"/>
      <c r="R41" s="206">
        <f>TablasERxDiv!BC16-BW14</f>
        <v>-8.27559</v>
      </c>
      <c r="S41" s="304">
        <f>IFERROR(R41/BW14,0)</f>
        <v>0</v>
      </c>
      <c r="T41" s="302"/>
      <c r="U41" s="206">
        <f>C41+F41+I41+L41+O41+R41</f>
        <v>-1829.830039096</v>
      </c>
      <c r="V41" s="302">
        <f>IFERROR(U41/BY14,0)</f>
        <v>0</v>
      </c>
      <c r="AQ41" s="7" t="s">
        <v>40</v>
      </c>
      <c r="AR41" s="8"/>
      <c r="AS41" s="8">
        <f>(BDER_sig!C15+BDER_sig!C37+BDER_sig!C59+BDER_sig!C81+BDER_sig!C103+BDER_sig!C125)/1000</f>
        <v>64.77774</v>
      </c>
      <c r="AT41" s="8">
        <f>(BDER_sig!C478+BDER_sig!C501+BDER_sig!C568+BDER_sig!C613)/1000</f>
        <v>0</v>
      </c>
      <c r="AU41" s="8">
        <f>(BDER_sig!C523+BDER_sig!C545+BDER_sig!C590+BDER_sig!C635+BDER_sig!C657)/1000</f>
        <v>0</v>
      </c>
      <c r="AV41" s="8">
        <f>(BDER_sig!C301+BDER_sig!C323+BDER_sig!C345+BDER_sig!C367)/1000</f>
        <v>0.00799</v>
      </c>
      <c r="AW41" s="8">
        <f>(BDER_sig!C433+BDER_sig!C455)/1000</f>
        <v>343.02418</v>
      </c>
      <c r="AX41" s="11">
        <f>SUM(AR41:AW41)</f>
        <v>407.80991</v>
      </c>
      <c r="BL41" s="347" t="s">
        <v>40</v>
      </c>
      <c r="BM41" s="351"/>
      <c r="BN41" s="352" t="str">
        <f>IF(CC$3=0,"N.D.",BM41/CC$3)</f>
        <v>0</v>
      </c>
      <c r="BO41" s="351">
        <f>proyeccion!B26</f>
        <v>0</v>
      </c>
      <c r="BP41" s="352" t="str">
        <f>IF(CE$3=0,"N.D.",BO41/CE$3)</f>
        <v>0</v>
      </c>
      <c r="BQ41" s="351">
        <f>proyeccion!G26*TC_PROY_SIG</f>
        <v>0</v>
      </c>
      <c r="BR41" s="352" t="str">
        <f>IF(CG$3=0,"N.D.",BQ41/CG$3)</f>
        <v>0</v>
      </c>
      <c r="BS41" s="351">
        <f>proyeccion!H26*TC_PROY_SIG</f>
        <v>0</v>
      </c>
      <c r="BT41" s="352" t="str">
        <f>IF(CI$3=0,"N.D.",BS41/CI$3)</f>
        <v>0</v>
      </c>
      <c r="BU41" s="351">
        <f>proyeccion!E26</f>
        <v>0</v>
      </c>
      <c r="BV41" s="352" t="str">
        <f>IF(CK$3=0,"N.D.",BU41/CK$3)</f>
        <v>0</v>
      </c>
      <c r="BW41" s="351">
        <f>proyeccion!F26</f>
        <v>0</v>
      </c>
      <c r="BX41" s="352" t="str">
        <f>IF(CM$3=0,"N.D.",BW41/CM$3)</f>
        <v>0</v>
      </c>
      <c r="BY41" s="351">
        <f>BM41+BO41+BQ41+BS41+BU41+BW41</f>
        <v>0</v>
      </c>
      <c r="BZ41" s="352" t="str">
        <f>IF(CO$3=0,"N.D.",BY41/CO$3)</f>
        <v>0</v>
      </c>
    </row>
    <row r="42" spans="1:78">
      <c r="B42" s="7" t="s">
        <v>39</v>
      </c>
      <c r="C42" s="11"/>
      <c r="D42" s="304"/>
      <c r="E42" s="302"/>
      <c r="F42" s="11">
        <f>TablasERxDiv!AA17-BO15</f>
        <v>909.17223</v>
      </c>
      <c r="G42" s="304">
        <f>IFERROR(F42/BO15,0)</f>
        <v>0</v>
      </c>
      <c r="H42" s="302"/>
      <c r="I42" s="206">
        <f>TablasER!G20-BQ15</f>
        <v>0</v>
      </c>
      <c r="J42" s="304">
        <f>IFERROR(I42/BQ15,0)</f>
        <v>0</v>
      </c>
      <c r="K42" s="302"/>
      <c r="L42" s="206">
        <f>TablasER!I20-BS15</f>
        <v>239.866936992</v>
      </c>
      <c r="M42" s="304">
        <f>IFERROR(L42/BT15,0)</f>
        <v>0</v>
      </c>
      <c r="N42" s="302"/>
      <c r="O42" s="206">
        <f>TablasERxDiv!AT17-BU15</f>
        <v>204.81516</v>
      </c>
      <c r="P42" s="304">
        <f>IFERROR(O42/BU15,0)</f>
        <v>0</v>
      </c>
      <c r="Q42" s="302"/>
      <c r="R42" s="206">
        <f>TablasERxDiv!BC17-BW15</f>
        <v>4.29151</v>
      </c>
      <c r="S42" s="304">
        <f>IFERROR(R42/BW15,0)</f>
        <v>0</v>
      </c>
      <c r="T42" s="302"/>
      <c r="U42" s="206">
        <f>C42+F42+I42+L42+O42+R42+intereses</f>
        <v>1359.145836992</v>
      </c>
      <c r="V42" s="302">
        <f>IFERROR(U42/BY15,0)</f>
        <v>0</v>
      </c>
      <c r="AQ42" s="7"/>
      <c r="AR42" s="8"/>
      <c r="AS42" s="8">
        <f>(BDER_sig!C16+BDER_sig!C38+BDER_sig!C60+BDER_sig!C82+BDER_sig!C104+BDER_sig!C126)/1000</f>
        <v>0</v>
      </c>
      <c r="AT42" s="8">
        <f>(BDER_sig!C479+BDER_sig!C502+BDER_sig!C569+BDER_sig!C614)/1000</f>
        <v>0</v>
      </c>
      <c r="AU42" s="8">
        <f>(BDER_sig!C524+BDER_sig!C546+BDER_sig!C591+BDER_sig!C636+BDER_sig!C658)/1000</f>
        <v>0</v>
      </c>
      <c r="AV42" s="8">
        <f>(BDER_sig!C302+BDER_sig!C324+BDER_sig!C346+BDER_sig!C368)/1000</f>
        <v>0</v>
      </c>
      <c r="AW42" s="8">
        <f>(BDER_sig!C434+BDER_sig!C456)/1000</f>
        <v>0</v>
      </c>
      <c r="AX42" s="11">
        <f>SUM(AR42:AW42)</f>
        <v>0</v>
      </c>
      <c r="BL42" s="347"/>
      <c r="BM42" s="351"/>
      <c r="BN42" s="352" t="str">
        <f>IF(CC$3=0,"N.D.",BM42/CC$3)</f>
        <v>0</v>
      </c>
      <c r="BO42" s="351">
        <f>proyeccion!B27</f>
        <v>0</v>
      </c>
      <c r="BP42" s="352" t="str">
        <f>IF(CE$3=0,"N.D.",BO42/CE$3)</f>
        <v>0</v>
      </c>
      <c r="BQ42" s="351">
        <f>proyeccion!G27*TC_PROY_SIG</f>
        <v>0</v>
      </c>
      <c r="BR42" s="352" t="str">
        <f>IF(CG$3=0,"N.D.",BQ42/CG$3)</f>
        <v>0</v>
      </c>
      <c r="BS42" s="351">
        <f>proyeccion!H27*TC_PROY_SIG</f>
        <v>0</v>
      </c>
      <c r="BT42" s="352" t="str">
        <f>IF(CI$3=0,"N.D.",BS42/CI$3)</f>
        <v>0</v>
      </c>
      <c r="BU42" s="351">
        <f>proyeccion!E27</f>
        <v>0</v>
      </c>
      <c r="BV42" s="352" t="str">
        <f>IF(CK$3=0,"N.D.",BU42/CK$3)</f>
        <v>0</v>
      </c>
      <c r="BW42" s="351">
        <f>proyeccion!F27</f>
        <v>0</v>
      </c>
      <c r="BX42" s="352" t="str">
        <f>IF(CM$3=0,"N.D.",BW42/CM$3)</f>
        <v>0</v>
      </c>
      <c r="BY42" s="351">
        <f>BM42+BO42+BQ42+BS42+BU42+BW42</f>
        <v>0</v>
      </c>
      <c r="BZ42" s="352" t="str">
        <f>IF(CO$3=0,"N.D.",BY42/CO$3)</f>
        <v>0</v>
      </c>
    </row>
    <row r="43" spans="1:78">
      <c r="B43" s="7" t="s">
        <v>40</v>
      </c>
      <c r="C43" s="11"/>
      <c r="D43" s="304"/>
      <c r="E43" s="302"/>
      <c r="F43" s="11">
        <f>TablasERxDiv!AA18-BO16</f>
        <v>31.72272</v>
      </c>
      <c r="G43" s="304">
        <f>IFERROR(F43/BO16,0)</f>
        <v>0</v>
      </c>
      <c r="H43" s="302"/>
      <c r="I43" s="206">
        <f>TablasER!G21-BQ16</f>
        <v>0</v>
      </c>
      <c r="J43" s="304">
        <f>IFERROR(I43/BQ16,0)</f>
        <v>0</v>
      </c>
      <c r="K43" s="302"/>
      <c r="L43" s="206">
        <f>TablasER!I21-BS16</f>
        <v>0</v>
      </c>
      <c r="M43" s="304">
        <f>IFERROR(L43/BT16,0)</f>
        <v>0</v>
      </c>
      <c r="N43" s="302"/>
      <c r="O43" s="206">
        <f>TablasERxDiv!AT18-BU16</f>
        <v>65.066835</v>
      </c>
      <c r="P43" s="304">
        <f>IFERROR(O43/BU16,0)</f>
        <v>0</v>
      </c>
      <c r="Q43" s="302"/>
      <c r="R43" s="206">
        <f>TablasERxDiv!BC18-BW16</f>
        <v>372.76143</v>
      </c>
      <c r="S43" s="304">
        <f>IFERROR(R43/BW16,0)</f>
        <v>0</v>
      </c>
      <c r="T43" s="302"/>
      <c r="U43" s="206">
        <f>C43+F43+I43+L43+O43+R43</f>
        <v>469.550985</v>
      </c>
      <c r="V43" s="302">
        <f>IFERROR(U43/BY16,0)</f>
        <v>0</v>
      </c>
      <c r="AQ43" s="4" t="s">
        <v>41</v>
      </c>
      <c r="AR43" s="200"/>
      <c r="AS43" s="8">
        <f>(BDER_sig!C17+BDER_sig!C39+BDER_sig!C61+BDER_sig!C83+BDER_sig!C105+BDER_sig!C127)/1000</f>
        <v>614.14912</v>
      </c>
      <c r="AT43" s="8">
        <f>(BDER_sig!C480+BDER_sig!C503+BDER_sig!C570+BDER_sig!C615)/1000</f>
        <v>-2.69629</v>
      </c>
      <c r="AU43" s="8">
        <f>(BDER_sig!C525+BDER_sig!C547+BDER_sig!C592+BDER_sig!C637+BDER_sig!C659)/1000</f>
        <v>27.78035</v>
      </c>
      <c r="AV43" s="8">
        <f>(BDER_sig!C303+BDER_sig!C325+BDER_sig!C347+BDER_sig!C369)/1000</f>
        <v>-3953.67664</v>
      </c>
      <c r="AW43" s="8">
        <f>(BDER_sig!C435+BDER_sig!C457)/1000</f>
        <v>-237.68693</v>
      </c>
      <c r="AX43" s="14">
        <f>SUM(AR43:AW43)</f>
        <v>-3552.13039</v>
      </c>
      <c r="BL43" s="344" t="s">
        <v>41</v>
      </c>
      <c r="BM43" s="354"/>
      <c r="BN43" s="355" t="str">
        <f>IF(CC$3=0,"N.D.",BM43/CC$3)</f>
        <v>0</v>
      </c>
      <c r="BO43" s="354">
        <f>BO38+BO39+BO40-BO41-BO42</f>
        <v>0</v>
      </c>
      <c r="BP43" s="355" t="str">
        <f>IF(CE$3=0,"N.D.",BO43/CE$3)</f>
        <v>0</v>
      </c>
      <c r="BQ43" s="354">
        <f>BQ38+BQ39+BQ40-BQ41-BQ42</f>
        <v>0</v>
      </c>
      <c r="BR43" s="355" t="str">
        <f>IF(CG$3=0,"N.D.",BQ43/CG$3)</f>
        <v>0</v>
      </c>
      <c r="BS43" s="354">
        <f>BS38+BS39+BS40-BS41-BS42</f>
        <v>0</v>
      </c>
      <c r="BT43" s="355" t="str">
        <f>IF(CI$3=0,"N.D.",BS43/CI$3)</f>
        <v>0</v>
      </c>
      <c r="BU43" s="354">
        <f>BU38+BU39+BU40-BU41-BU42</f>
        <v>0</v>
      </c>
      <c r="BV43" s="355" t="str">
        <f>IF(CK$3=0,"N.D.",BU43/CK$3)</f>
        <v>0</v>
      </c>
      <c r="BW43" s="354">
        <f>BW38+BW39+BW40-BW41-BW42</f>
        <v>0</v>
      </c>
      <c r="BX43" s="355" t="str">
        <f>IF(CM$3=0,"N.D.",BW43/CM$3)</f>
        <v>0</v>
      </c>
      <c r="BY43" s="354">
        <f>BM43+BO43+BQ43+BS43+BU43+BW43</f>
        <v>0</v>
      </c>
      <c r="BZ43" s="355" t="str">
        <f>IF(CO$3=0,"N.D.",BY43/CO$3)</f>
        <v>0</v>
      </c>
    </row>
    <row r="44" spans="1:78">
      <c r="B44" s="7"/>
      <c r="C44" s="34"/>
      <c r="D44" s="304"/>
      <c r="E44" s="302"/>
      <c r="F44" s="34">
        <f>TablasERxDiv!AA19-BO17</f>
        <v>0</v>
      </c>
      <c r="G44" s="304">
        <f>IFERROR(F44/BO17,0)</f>
        <v>0</v>
      </c>
      <c r="H44" s="302"/>
      <c r="I44" s="207">
        <f>TablasER!G22-BQ17</f>
        <v>0</v>
      </c>
      <c r="J44" s="304">
        <f>IFERROR(I44/BQ17,0)</f>
        <v>0</v>
      </c>
      <c r="K44" s="302"/>
      <c r="L44" s="207">
        <f>TablasER!I22-BS17</f>
        <v>0</v>
      </c>
      <c r="M44" s="304">
        <f>IFERROR(L44/BT17,0)</f>
        <v>0</v>
      </c>
      <c r="N44" s="302"/>
      <c r="O44" s="207">
        <f>TablasERxDiv!AT19-BU17</f>
        <v>0</v>
      </c>
      <c r="P44" s="304">
        <f>IFERROR(O44/BU17,0)</f>
        <v>0</v>
      </c>
      <c r="Q44" s="302"/>
      <c r="R44" s="207">
        <f>TablasERxDiv!BC19-BW17</f>
        <v>0</v>
      </c>
      <c r="S44" s="304">
        <f>IFERROR(R44/BW17,0)</f>
        <v>0</v>
      </c>
      <c r="T44" s="302"/>
      <c r="U44" s="207">
        <f>C44+F44+I44+L44+O44+R44</f>
        <v>0</v>
      </c>
      <c r="V44" s="302">
        <f>IFERROR(U44/BY17,0)</f>
        <v>0</v>
      </c>
      <c r="AQ44" s="4" t="s">
        <v>42</v>
      </c>
      <c r="AR44" s="14"/>
      <c r="AS44" s="8">
        <f>(BDER_sig!C18+BDER_sig!C40+BDER_sig!C62+BDER_sig!C84+BDER_sig!C106+BDER_sig!C128)/1000</f>
        <v>2994.58894</v>
      </c>
      <c r="AT44" s="8">
        <f>(BDER_sig!C481+BDER_sig!C504+BDER_sig!C571+BDER_sig!C616)/1000</f>
        <v>11.28563</v>
      </c>
      <c r="AU44" s="8">
        <f>(BDER_sig!C526+BDER_sig!C548+BDER_sig!C593+BDER_sig!C638+BDER_sig!C660)/1000</f>
        <v>46.17693</v>
      </c>
      <c r="AV44" s="8">
        <f>(BDER_sig!C304+BDER_sig!C326+BDER_sig!C348+BDER_sig!C370)/1000</f>
        <v>10379.80061</v>
      </c>
      <c r="AW44" s="8">
        <f>(BDER_sig!C436+BDER_sig!C458)/1000</f>
        <v>1589.01642</v>
      </c>
      <c r="AX44" s="14">
        <f>SUM(AR44:AW44)</f>
        <v>15020.86853</v>
      </c>
      <c r="BL44" s="344" t="s">
        <v>42</v>
      </c>
      <c r="BM44" s="212"/>
      <c r="BN44" s="355" t="str">
        <f>IF(CC$3=0,"N.D.",BM44/CC$3)</f>
        <v>0</v>
      </c>
      <c r="BO44" s="354">
        <f>BO36-BO43</f>
        <v>0</v>
      </c>
      <c r="BP44" s="355" t="str">
        <f>IF(CE$3=0,"N.D.",BO44/CE$3)</f>
        <v>0</v>
      </c>
      <c r="BQ44" s="354">
        <f>BQ36-BQ43</f>
        <v>0</v>
      </c>
      <c r="BR44" s="355" t="str">
        <f>IF(CG$3=0,"N.D.",BQ44/CG$3)</f>
        <v>0</v>
      </c>
      <c r="BS44" s="354">
        <f>BS36-BS43</f>
        <v>0</v>
      </c>
      <c r="BT44" s="355" t="str">
        <f>IF(CI$3=0,"N.D.",BS44/CI$3)</f>
        <v>0</v>
      </c>
      <c r="BU44" s="354">
        <f>BU36-BU43</f>
        <v>0</v>
      </c>
      <c r="BV44" s="355" t="str">
        <f>IF(CK$3=0,"N.D.",BU44/CK$3)</f>
        <v>0</v>
      </c>
      <c r="BW44" s="354">
        <f>BW36-BW43</f>
        <v>0</v>
      </c>
      <c r="BX44" s="355" t="str">
        <f>IF(CM$3=0,"N.D.",BW44/CM$3)</f>
        <v>0</v>
      </c>
      <c r="BY44" s="354">
        <f>BM44+BO44+BQ44+BS44+BU44+BW44</f>
        <v>0</v>
      </c>
      <c r="BZ44" s="355" t="str">
        <f>IF(CO$3=0,"N.D.",BY44/CO$3)</f>
        <v>0</v>
      </c>
    </row>
    <row r="45" spans="1:78">
      <c r="B45" s="4" t="s">
        <v>41</v>
      </c>
      <c r="C45" s="14"/>
      <c r="D45" s="314"/>
      <c r="E45" s="317"/>
      <c r="F45" s="14">
        <f>TablasERxDiv!AA20-BO18</f>
        <v>793.04996</v>
      </c>
      <c r="G45" s="314">
        <f>IFERROR(F45/BO18,0)</f>
        <v>0</v>
      </c>
      <c r="H45" s="317"/>
      <c r="I45" s="214">
        <f>TablasER!G23-BQ18</f>
        <v>-204.943359096</v>
      </c>
      <c r="J45" s="314">
        <f>IFERROR(I45/BQ18,0)</f>
        <v>0</v>
      </c>
      <c r="K45" s="317"/>
      <c r="L45" s="214">
        <f>TablasER!I23-BS18</f>
        <v>239.866936992</v>
      </c>
      <c r="M45" s="314">
        <f>IFERROR(L45/BT18,0)</f>
        <v>0</v>
      </c>
      <c r="N45" s="317"/>
      <c r="O45" s="214">
        <f>TablasERxDiv!AT20-BU18</f>
        <v>-471.403855</v>
      </c>
      <c r="P45" s="314">
        <f>IFERROR(O45/BU18,0)</f>
        <v>0</v>
      </c>
      <c r="Q45" s="317"/>
      <c r="R45" s="214">
        <f>TablasERxDiv!BC20-BW18</f>
        <v>-359.52649</v>
      </c>
      <c r="S45" s="314">
        <f>IFERROR(R45/BW18,0)</f>
        <v>0</v>
      </c>
      <c r="T45" s="317"/>
      <c r="U45" s="214">
        <f>U40+U41+U42-U43</f>
        <v>-1.9568071039999</v>
      </c>
      <c r="V45" s="303">
        <f>IFERROR(U45/BY18,0)</f>
        <v>0</v>
      </c>
      <c r="AQ45" s="1"/>
      <c r="AX45" s="30"/>
      <c r="BL45" s="347"/>
      <c r="BM45" s="357"/>
      <c r="BN45" s="358"/>
      <c r="BO45" s="357"/>
      <c r="BP45" s="358"/>
      <c r="BQ45" s="357"/>
      <c r="BR45" s="358"/>
      <c r="BS45" s="357"/>
      <c r="BT45" s="358"/>
      <c r="BU45" s="357"/>
      <c r="BV45" s="358"/>
      <c r="BW45" s="357"/>
      <c r="BX45" s="358"/>
      <c r="BY45" s="357"/>
      <c r="BZ45" s="358"/>
    </row>
    <row r="46" spans="1:78">
      <c r="B46" s="4" t="s">
        <v>42</v>
      </c>
      <c r="C46" s="14"/>
      <c r="D46" s="314"/>
      <c r="E46" s="317"/>
      <c r="F46" s="14">
        <f>TablasERxDiv!AA21-BO19</f>
        <v>5566.96647</v>
      </c>
      <c r="G46" s="314">
        <f>IFERROR(F46/BO19,0)</f>
        <v>0</v>
      </c>
      <c r="H46" s="317"/>
      <c r="I46" s="214">
        <f>TablasER!G24-BQ19</f>
        <v>2006.965960416</v>
      </c>
      <c r="J46" s="314">
        <f>IFERROR(I46/BQ19,0)</f>
        <v>0</v>
      </c>
      <c r="K46" s="317"/>
      <c r="L46" s="214">
        <f>TablasER!I24-BS19</f>
        <v>798.22027152</v>
      </c>
      <c r="M46" s="314">
        <f>IFERROR(L46/BT19,0)</f>
        <v>0</v>
      </c>
      <c r="N46" s="317"/>
      <c r="O46" s="214">
        <f>TablasERxDiv!AT21-BU19</f>
        <v>9913.913065</v>
      </c>
      <c r="P46" s="314">
        <f>IFERROR(O46/BU19,0)</f>
        <v>0</v>
      </c>
      <c r="Q46" s="317"/>
      <c r="R46" s="214">
        <f>TablasERxDiv!BC21-BW19</f>
        <v>3228.52681</v>
      </c>
      <c r="S46" s="314">
        <f>IFERROR(R46/BW19,0)</f>
        <v>0</v>
      </c>
      <c r="T46" s="317"/>
      <c r="U46" s="214">
        <f>+U38-U45</f>
        <v>21513.592576936</v>
      </c>
      <c r="V46" s="303">
        <f>IFERROR(U46/BY19,0)</f>
        <v>0</v>
      </c>
      <c r="AQ46" s="7" t="s">
        <v>43</v>
      </c>
      <c r="AR46" s="203"/>
      <c r="AS46" s="8">
        <f>(BDER_sig!C19+BDER_sig!C41+BDER_sig!C63+BDER_sig!C85+BDER_sig!C107+BDER_sig!C129)/1000</f>
        <v>1267.71081</v>
      </c>
      <c r="AT46" s="8">
        <f>(BDER_sig!C482+BDER_sig!C505+BDER_sig!C572+BDER_sig!C617)/1000</f>
        <v>0</v>
      </c>
      <c r="AU46" s="8">
        <f>(BDER_sig!C527+BDER_sig!C549+BDER_sig!C594+BDER_sig!C639+BDER_sig!C661)/1000</f>
        <v>0</v>
      </c>
      <c r="AV46" s="8">
        <f>(BDER_sig!C305+BDER_sig!C327+BDER_sig!C349+BDER_sig!C371)/1000</f>
        <v>1769.64929</v>
      </c>
      <c r="AW46" s="8">
        <f>(BDER_sig!C437+BDER_sig!C459)/1000</f>
        <v>0</v>
      </c>
      <c r="AX46" s="8">
        <f>SUM(AR46:AW46)</f>
        <v>3037.3601</v>
      </c>
      <c r="BL46" s="347" t="s">
        <v>43</v>
      </c>
      <c r="BM46" s="348"/>
      <c r="BN46" s="349" t="str">
        <f>IF(CC$3=0,"N.D.",BM46/CC$3)</f>
        <v>0</v>
      </c>
      <c r="BO46" s="348">
        <f>proyeccion!B28</f>
        <v>0</v>
      </c>
      <c r="BP46" s="349" t="str">
        <f>IF(CE$3=0,"N.D.",BO46/CE$3)</f>
        <v>0</v>
      </c>
      <c r="BQ46" s="348">
        <f>proyeccion!G28*TC_PROY_SIG</f>
        <v>0</v>
      </c>
      <c r="BR46" s="349" t="str">
        <f>IF(CG$3=0,"N.D.",BQ46/CG$3)</f>
        <v>0</v>
      </c>
      <c r="BS46" s="348">
        <f>proyeccion!H28*TC_PROY_SIG</f>
        <v>0</v>
      </c>
      <c r="BT46" s="349" t="str">
        <f>IF(CI$3=0,"N.D.",BS46/CI$3)</f>
        <v>0</v>
      </c>
      <c r="BU46" s="348">
        <f>proyeccion!E28</f>
        <v>0</v>
      </c>
      <c r="BV46" s="349" t="str">
        <f>IF(CK$3=0,"N.D.",BU46/CK$3)</f>
        <v>0</v>
      </c>
      <c r="BW46" s="348">
        <f>proyeccion!F28</f>
        <v>0</v>
      </c>
      <c r="BX46" s="349" t="str">
        <f>IF(CM$3=0,"N.D.",BW46/CM$3)</f>
        <v>0</v>
      </c>
      <c r="BY46" s="348">
        <f>BM46+BO46+BQ46+BS46+BU46+BW46</f>
        <v>0</v>
      </c>
      <c r="BZ46" s="349" t="str">
        <f>IF(CO$3=0,"N.D.",BY46/CO$3)</f>
        <v>0</v>
      </c>
    </row>
    <row r="47" spans="1:78">
      <c r="A47" s="307"/>
      <c r="B47" s="1"/>
      <c r="C47" s="30"/>
      <c r="D47" s="304"/>
      <c r="E47" s="304"/>
      <c r="F47" s="30"/>
      <c r="G47" s="304"/>
      <c r="H47" s="304"/>
      <c r="I47" s="30"/>
      <c r="J47" s="304"/>
      <c r="K47" s="304"/>
      <c r="L47" s="30"/>
      <c r="M47" s="304"/>
      <c r="N47" s="304"/>
      <c r="O47" s="30"/>
      <c r="P47" s="304"/>
      <c r="Q47" s="304"/>
      <c r="R47" s="30"/>
      <c r="S47" s="304"/>
      <c r="T47" s="304"/>
      <c r="U47" s="30"/>
      <c r="V47" s="304"/>
      <c r="AQ47" s="7" t="s">
        <v>45</v>
      </c>
      <c r="AR47" s="8"/>
      <c r="AS47" s="8">
        <f>(BDER_sig!C20+BDER_sig!C42+BDER_sig!C64+BDER_sig!C86+BDER_sig!C108+BDER_sig!C130)/1000</f>
        <v>0</v>
      </c>
      <c r="AT47" s="8">
        <f>(BDER_sig!C483+BDER_sig!C506+BDER_sig!C573+BDER_sig!C618)/1000</f>
        <v>0</v>
      </c>
      <c r="AU47" s="8">
        <f>(BDER_sig!C528+BDER_sig!C550+BDER_sig!C595+BDER_sig!C640+BDER_sig!C662)/1000</f>
        <v>0</v>
      </c>
      <c r="AV47" s="8">
        <f>(BDER_sig!C306+BDER_sig!C328+BDER_sig!C350+BDER_sig!C372)/1000</f>
        <v>0</v>
      </c>
      <c r="AW47" s="8">
        <f>(BDER_sig!C438+BDER_sig!C460)/1000</f>
        <v>0</v>
      </c>
      <c r="AX47" s="11">
        <f>SUM(AR47:AW47)</f>
        <v>0</v>
      </c>
      <c r="BL47" s="347" t="s">
        <v>46</v>
      </c>
      <c r="BM47" s="351"/>
      <c r="BN47" s="352" t="str">
        <f>IF(CC$3=0,"N.D.",BM47/CC$3)</f>
        <v>0</v>
      </c>
      <c r="BO47" s="351">
        <f>proyeccion!B29</f>
        <v>0</v>
      </c>
      <c r="BP47" s="352" t="str">
        <f>IF(CE$3=0,"N.D.",BO47/CE$3)</f>
        <v>0</v>
      </c>
      <c r="BQ47" s="351">
        <f>proyeccion!G29*TC_PROY_SIG</f>
        <v>0</v>
      </c>
      <c r="BR47" s="352" t="str">
        <f>IF(CG$3=0,"N.D.",BQ47/CG$3)</f>
        <v>0</v>
      </c>
      <c r="BS47" s="351">
        <f>proyeccion!H29*TC_PROY_SIG</f>
        <v>0</v>
      </c>
      <c r="BT47" s="352" t="str">
        <f>IF(CI$3=0,"N.D.",BS47/CI$3)</f>
        <v>0</v>
      </c>
      <c r="BU47" s="351">
        <f>proyeccion!E29</f>
        <v>0</v>
      </c>
      <c r="BV47" s="352" t="str">
        <f>IF(CK$3=0,"N.D.",BU47/CK$3)</f>
        <v>0</v>
      </c>
      <c r="BW47" s="351">
        <f>proyeccion!F29</f>
        <v>0</v>
      </c>
      <c r="BX47" s="352" t="str">
        <f>IF(CM$3=0,"N.D.",BW47/CM$3)</f>
        <v>0</v>
      </c>
      <c r="BY47" s="351">
        <f>BM47+BO47+BQ47+BS47+BU47+BW47</f>
        <v>0</v>
      </c>
      <c r="BZ47" s="352" t="str">
        <f>IF(CO$3=0,"N.D.",BY47/CO$3)</f>
        <v>0</v>
      </c>
    </row>
    <row r="48" spans="1:78">
      <c r="B48" s="7" t="s">
        <v>43</v>
      </c>
      <c r="C48" s="8"/>
      <c r="D48" s="313"/>
      <c r="E48" s="302"/>
      <c r="F48" s="8">
        <f>TablasERxDiv!AA23-BO21</f>
        <v>1537.24566</v>
      </c>
      <c r="G48" s="313">
        <f>IFERROR(F48/BO21,0)</f>
        <v>0</v>
      </c>
      <c r="H48" s="302"/>
      <c r="I48" s="204">
        <f>TablasER!G26-BQ21</f>
        <v>0</v>
      </c>
      <c r="J48" s="313">
        <f>IFERROR(I48/BQ21,0)</f>
        <v>0</v>
      </c>
      <c r="K48" s="302"/>
      <c r="L48" s="204">
        <f>TablasER!I26-BS21</f>
        <v>0</v>
      </c>
      <c r="M48" s="313">
        <f>IFERROR(L48/BT21,0)</f>
        <v>0</v>
      </c>
      <c r="N48" s="302"/>
      <c r="O48" s="204">
        <f>TablasERxDiv!AT23-BU21</f>
        <v>4007.18812</v>
      </c>
      <c r="P48" s="313">
        <f>IFERROR(O48/BU21,0)</f>
        <v>0</v>
      </c>
      <c r="Q48" s="302"/>
      <c r="R48" s="204">
        <f>TablasERxDiv!BC23-BW21</f>
        <v>690.825</v>
      </c>
      <c r="S48" s="313">
        <f>IFERROR(R48/BW21,0)</f>
        <v>0</v>
      </c>
      <c r="T48" s="302"/>
      <c r="U48" s="204">
        <f>C48+F48+I48+L48+O48+R48</f>
        <v>6235.25878</v>
      </c>
      <c r="V48" s="137">
        <f>IFERROR(U48/BY21,0)</f>
        <v>0</v>
      </c>
      <c r="AQ48" s="4" t="s">
        <v>47</v>
      </c>
      <c r="AR48" s="14"/>
      <c r="AS48" s="8">
        <f>(BDER_sig!C21+BDER_sig!C43+BDER_sig!C65+BDER_sig!C87+BDER_sig!C109+BDER_sig!C131)/1000</f>
        <v>1726.87813</v>
      </c>
      <c r="AT48" s="8">
        <f>(BDER_sig!C484+BDER_sig!C507+BDER_sig!C574+BDER_sig!C619)/1000</f>
        <v>11.28563</v>
      </c>
      <c r="AU48" s="8">
        <f>(BDER_sig!C529+BDER_sig!C551+BDER_sig!C596+BDER_sig!C641+BDER_sig!C663)/1000</f>
        <v>46.17693</v>
      </c>
      <c r="AV48" s="8">
        <f>(BDER_sig!C307+BDER_sig!C329+BDER_sig!C351+BDER_sig!C373)/1000</f>
        <v>8610.15132</v>
      </c>
      <c r="AW48" s="8">
        <f>(BDER_sig!C439+BDER_sig!C461)/1000</f>
        <v>1589.01642</v>
      </c>
      <c r="AX48" s="14">
        <f>SUM(AR48:AW48)</f>
        <v>11983.50843</v>
      </c>
      <c r="BL48" s="344" t="s">
        <v>47</v>
      </c>
      <c r="BM48" s="354"/>
      <c r="BN48" s="355" t="str">
        <f>IF(CC$3=0,"N.D.",BM48/CC$3)</f>
        <v>0</v>
      </c>
      <c r="BO48" s="354">
        <f>BO44-BO46-BO47</f>
        <v>0</v>
      </c>
      <c r="BP48" s="355" t="str">
        <f>IF(CE$3=0,"N.D.",BO48/CE$3)</f>
        <v>0</v>
      </c>
      <c r="BQ48" s="354">
        <f>BQ44-BQ46-BQ47</f>
        <v>0</v>
      </c>
      <c r="BR48" s="355" t="str">
        <f>IF(CG$3=0,"N.D.",BQ48/CG$3)</f>
        <v>0</v>
      </c>
      <c r="BS48" s="354">
        <f>BS44-BS46-BS47</f>
        <v>0</v>
      </c>
      <c r="BT48" s="355" t="str">
        <f>IF(CI$3=0,"N.D.",BS48/CI$3)</f>
        <v>0</v>
      </c>
      <c r="BU48" s="354">
        <f>BU44-BU46-BU47</f>
        <v>0</v>
      </c>
      <c r="BV48" s="355" t="str">
        <f>IF(CK$3=0,"N.D.",BU48/CK$3)</f>
        <v>0</v>
      </c>
      <c r="BW48" s="354">
        <f>BW44-BW46-BW47</f>
        <v>0</v>
      </c>
      <c r="BX48" s="355" t="str">
        <f>IF(CM$3=0,"N.D.",BW48/CM$3)</f>
        <v>0</v>
      </c>
      <c r="BY48" s="354">
        <f>BM48+BO48+BQ48+BS48+BU48+BW48</f>
        <v>0</v>
      </c>
      <c r="BZ48" s="355" t="str">
        <f>IF(CO$3=0,"N.D.",BY48/CO$3)</f>
        <v>0</v>
      </c>
    </row>
    <row r="49" spans="1:78">
      <c r="B49" s="7" t="s">
        <v>46</v>
      </c>
      <c r="C49" s="34"/>
      <c r="D49" s="304"/>
      <c r="E49" s="302"/>
      <c r="F49" s="34">
        <f>TablasERxDiv!AA24-BO22</f>
        <v>0</v>
      </c>
      <c r="G49" s="304">
        <f>IFERROR(F49/BO22,0)</f>
        <v>0</v>
      </c>
      <c r="H49" s="302"/>
      <c r="I49" s="207">
        <f>TablasER!G27-BQ22</f>
        <v>0</v>
      </c>
      <c r="J49" s="304">
        <f>IFERROR(I49/BQ22,0)</f>
        <v>0</v>
      </c>
      <c r="K49" s="302"/>
      <c r="L49" s="207">
        <f>TablasER!I27-BS22</f>
        <v>0</v>
      </c>
      <c r="M49" s="304">
        <f>IFERROR(L49/BT22,0)</f>
        <v>0</v>
      </c>
      <c r="N49" s="302"/>
      <c r="O49" s="207">
        <f>TablasERxDiv!AT24-BU22</f>
        <v>0</v>
      </c>
      <c r="P49" s="304">
        <f>IFERROR(O49/BU22,0)</f>
        <v>0</v>
      </c>
      <c r="Q49" s="302"/>
      <c r="R49" s="207">
        <f>TablasERxDiv!BC24-BW22</f>
        <v>0</v>
      </c>
      <c r="S49" s="304">
        <f>IFERROR(R49/BW22,0)</f>
        <v>0</v>
      </c>
      <c r="T49" s="302"/>
      <c r="U49" s="207">
        <f>C49+F49+I49+L49+O49+R49</f>
        <v>0</v>
      </c>
      <c r="V49" s="302">
        <f>IFERROR(U49/BY22,0)</f>
        <v>0</v>
      </c>
      <c r="AQ49" s="4" t="s">
        <v>48</v>
      </c>
      <c r="AR49" s="20"/>
      <c r="AS49" s="8">
        <f>(BDER_sig!C22+BDER_sig!C44+BDER_sig!C66+BDER_sig!C88+BDER_sig!C110+BDER_sig!C132)/1000</f>
        <v>4482.06267</v>
      </c>
      <c r="AT49" s="8">
        <f>(BDER_sig!C485+BDER_sig!C508+BDER_sig!C575+BDER_sig!C620)/1000</f>
        <v>24.11706</v>
      </c>
      <c r="AU49" s="8">
        <f>(BDER_sig!C530+BDER_sig!C552+BDER_sig!C597+BDER_sig!C642+BDER_sig!C664)/1000</f>
        <v>94.95969</v>
      </c>
      <c r="AV49" s="8">
        <f>(BDER_sig!C308+BDER_sig!C330+BDER_sig!C352+BDER_sig!C374)/1000</f>
        <v>8320.06426</v>
      </c>
      <c r="AW49" s="8">
        <f>(BDER_sig!C440+BDER_sig!C462)/1000</f>
        <v>1382.38307</v>
      </c>
      <c r="AX49" s="20">
        <f>SUM(AR49:AW49)</f>
        <v>14303.58675</v>
      </c>
      <c r="BL49" s="344" t="s">
        <v>48</v>
      </c>
      <c r="BM49" s="354"/>
      <c r="BN49" s="355" t="str">
        <f>IF(CC$3=0,"N.D.",BM49/CC$3)</f>
        <v>0</v>
      </c>
      <c r="BO49" s="354">
        <f>BO36+BO34</f>
        <v>0</v>
      </c>
      <c r="BP49" s="355" t="str">
        <f>IF(CE$3=0,"N.D.",BO49/CE$3)</f>
        <v>0</v>
      </c>
      <c r="BQ49" s="354">
        <f>BQ36+BQ34</f>
        <v>0</v>
      </c>
      <c r="BR49" s="355" t="str">
        <f>IF(CG$3=0,"N.D.",BQ49/CG$3)</f>
        <v>0</v>
      </c>
      <c r="BS49" s="354">
        <f>BS36+BS34</f>
        <v>0</v>
      </c>
      <c r="BT49" s="355" t="str">
        <f>IF(CI$3=0,"N.D.",BS49/CI$3)</f>
        <v>0</v>
      </c>
      <c r="BU49" s="354">
        <f>BU36+BU34</f>
        <v>0</v>
      </c>
      <c r="BV49" s="355" t="str">
        <f>IF(CK$3=0,"N.D.",BU49/CK$3)</f>
        <v>0</v>
      </c>
      <c r="BW49" s="354">
        <f>BW36+BW34</f>
        <v>0</v>
      </c>
      <c r="BX49" s="355" t="str">
        <f>IF(CM$3=0,"N.D.",BW49/CM$3)</f>
        <v>0</v>
      </c>
      <c r="BY49" s="354">
        <f>BM49+BO49+BQ49+BS49+BU49+BW49</f>
        <v>0</v>
      </c>
      <c r="BZ49" s="355" t="str">
        <f>IF(CO$3=0,"N.D.",BY49/CO$3)</f>
        <v>0</v>
      </c>
    </row>
    <row r="50" spans="1:78">
      <c r="B50" s="4" t="s">
        <v>47</v>
      </c>
      <c r="C50" s="14"/>
      <c r="D50" s="314"/>
      <c r="E50" s="317"/>
      <c r="F50" s="14">
        <f>TablasERxDiv!AA25-BO23</f>
        <v>4029.72081</v>
      </c>
      <c r="G50" s="314">
        <f>IFERROR(F50/BO23,0)</f>
        <v>0</v>
      </c>
      <c r="H50" s="317"/>
      <c r="I50" s="214">
        <f>TablasER!G28-BQ23</f>
        <v>2006.965960416</v>
      </c>
      <c r="J50" s="314">
        <f>IFERROR(I50/BQ23,0)</f>
        <v>0</v>
      </c>
      <c r="K50" s="317"/>
      <c r="L50" s="214">
        <f>TablasER!I28-BS23</f>
        <v>798.22027152</v>
      </c>
      <c r="M50" s="314">
        <f>IFERROR(L50/BT23,0)</f>
        <v>0</v>
      </c>
      <c r="N50" s="317"/>
      <c r="O50" s="214">
        <f>TablasERxDiv!AT25-BU23</f>
        <v>5906.724945</v>
      </c>
      <c r="P50" s="314">
        <f>IFERROR(O50/BU23,0)</f>
        <v>0</v>
      </c>
      <c r="Q50" s="317"/>
      <c r="R50" s="214">
        <f>TablasERxDiv!BC25-BW23</f>
        <v>2537.70181</v>
      </c>
      <c r="S50" s="314">
        <f>IFERROR(R50/BW23,0)</f>
        <v>0</v>
      </c>
      <c r="T50" s="317"/>
      <c r="U50" s="214">
        <f>U46-U48-U49</f>
        <v>15278.333796936</v>
      </c>
      <c r="V50" s="303">
        <f>IFERROR(U50/BY23,0)</f>
        <v>0</v>
      </c>
    </row>
    <row r="51" spans="1:78">
      <c r="B51" s="4" t="s">
        <v>48</v>
      </c>
      <c r="C51" s="14"/>
      <c r="D51" s="314"/>
      <c r="E51" s="317"/>
      <c r="F51" s="14">
        <f>TablasERxDiv!AA26-BO24</f>
        <v>7270.53006</v>
      </c>
      <c r="G51" s="314">
        <f>IFERROR(F51/BO24,0)</f>
        <v>0</v>
      </c>
      <c r="H51" s="317"/>
      <c r="I51" s="214">
        <f>TablasER!G29-BQ24</f>
        <v>2178.440309232</v>
      </c>
      <c r="J51" s="314">
        <f>IFERROR(I51/BQ24,0)</f>
        <v>0</v>
      </c>
      <c r="K51" s="317"/>
      <c r="L51" s="214">
        <f>TablasER!I29-BS24</f>
        <v>1647.345757896</v>
      </c>
      <c r="M51" s="314">
        <f>IFERROR(L51/BT24,0)</f>
        <v>0</v>
      </c>
      <c r="N51" s="317"/>
      <c r="O51" s="214">
        <f>TablasERxDiv!AT26-BU24</f>
        <v>11384.31317</v>
      </c>
      <c r="P51" s="314">
        <f>IFERROR(O51/BU24,0)</f>
        <v>0</v>
      </c>
      <c r="Q51" s="317"/>
      <c r="R51" s="214">
        <f>TablasERxDiv!BC26-BW24</f>
        <v>2900.92573</v>
      </c>
      <c r="S51" s="314">
        <f>IFERROR(R51/BW24,0)</f>
        <v>0</v>
      </c>
      <c r="T51" s="317"/>
      <c r="U51" s="214">
        <f>+U38+U36</f>
        <v>25381.555027128</v>
      </c>
      <c r="V51" s="303">
        <f>IFERROR(U51/BY24,0)</f>
        <v>0</v>
      </c>
    </row>
    <row r="52" spans="1:78">
      <c r="U52" s="25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2:V2"/>
    <mergeCell ref="C28:D28"/>
    <mergeCell ref="F28:G28"/>
    <mergeCell ref="I28:J28"/>
    <mergeCell ref="L28:M28"/>
    <mergeCell ref="O28:P28"/>
    <mergeCell ref="R28:S28"/>
    <mergeCell ref="U28:V28"/>
    <mergeCell ref="C2:D2"/>
    <mergeCell ref="F2:G2"/>
    <mergeCell ref="I2:J2"/>
    <mergeCell ref="L2:M2"/>
    <mergeCell ref="O2:P2"/>
    <mergeCell ref="R2:S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division">
    <outlinePr summaryBelow="1" summaryRight="1"/>
  </sheetPr>
  <dimension ref="A1:L16"/>
  <sheetViews>
    <sheetView tabSelected="0" workbookViewId="0" showGridLines="true" showRowColHeaders="1">
      <selection activeCell="B2" sqref="B2:L16"/>
    </sheetView>
  </sheetViews>
  <sheetFormatPr defaultRowHeight="14.4" outlineLevelRow="0" outlineLevelCol="0"/>
  <cols>
    <col min="9" max="9" width="0.54296875" customWidth="true" style="300"/>
  </cols>
  <sheetData>
    <row r="1" spans="1:12">
      <c r="A1" s="297" t="s">
        <v>2</v>
      </c>
      <c r="B1" s="296" t="s">
        <v>139</v>
      </c>
      <c r="C1" s="296" t="s">
        <v>140</v>
      </c>
      <c r="D1" s="296" t="s">
        <v>141</v>
      </c>
      <c r="E1" s="296" t="s">
        <v>142</v>
      </c>
      <c r="F1" s="296" t="s">
        <v>143</v>
      </c>
      <c r="G1" s="296" t="s">
        <v>144</v>
      </c>
      <c r="H1" s="296" t="s">
        <v>145</v>
      </c>
      <c r="J1" s="296" t="s">
        <v>146</v>
      </c>
      <c r="K1" s="296" t="s">
        <v>7</v>
      </c>
      <c r="L1" s="296" t="s">
        <v>6</v>
      </c>
    </row>
    <row r="2" spans="1:12">
      <c r="A2" t="s">
        <v>147</v>
      </c>
      <c r="I2" s="300"/>
      <c r="J2">
        <v>20.2248</v>
      </c>
      <c r="K2">
        <v>1</v>
      </c>
      <c r="L2">
        <v>1</v>
      </c>
    </row>
    <row r="3" spans="1:12">
      <c r="A3" t="s">
        <v>148</v>
      </c>
      <c r="I3" s="300"/>
    </row>
    <row r="4" spans="1:12">
      <c r="A4" t="s">
        <v>149</v>
      </c>
      <c r="I4" s="300"/>
    </row>
    <row r="5" spans="1:12">
      <c r="A5" t="s">
        <v>150</v>
      </c>
      <c r="I5" s="300"/>
    </row>
    <row r="6" spans="1:12">
      <c r="A6" t="s">
        <v>151</v>
      </c>
      <c r="I6" s="300"/>
    </row>
    <row r="7" spans="1:12">
      <c r="A7" t="s">
        <v>152</v>
      </c>
      <c r="I7" s="300"/>
    </row>
    <row r="8" spans="1:12">
      <c r="A8" t="s">
        <v>153</v>
      </c>
      <c r="I8" s="300"/>
    </row>
    <row r="9" spans="1:12">
      <c r="A9" s="297" t="s">
        <v>154</v>
      </c>
      <c r="I9" s="300"/>
    </row>
    <row r="10" spans="1:12">
      <c r="A10" t="s">
        <v>147</v>
      </c>
      <c r="I10" s="300"/>
      <c r="J10">
        <v>20.2248</v>
      </c>
      <c r="K10">
        <v>1</v>
      </c>
      <c r="L10">
        <v>1</v>
      </c>
    </row>
    <row r="11" spans="1:12">
      <c r="A11" t="s">
        <v>148</v>
      </c>
      <c r="I11" s="300"/>
    </row>
    <row r="12" spans="1:12">
      <c r="A12" t="s">
        <v>149</v>
      </c>
      <c r="I12" s="300"/>
    </row>
    <row r="13" spans="1:12">
      <c r="A13" t="s">
        <v>150</v>
      </c>
      <c r="I13" s="300"/>
    </row>
    <row r="14" spans="1:12">
      <c r="A14" t="s">
        <v>151</v>
      </c>
      <c r="I14" s="300"/>
    </row>
    <row r="15" spans="1:12">
      <c r="A15" t="s">
        <v>152</v>
      </c>
      <c r="I15" s="300"/>
    </row>
    <row r="16" spans="1:12">
      <c r="A16" t="s">
        <v>153</v>
      </c>
      <c r="I16" s="3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ajustes">
    <outlinePr summaryBelow="1" summaryRight="1"/>
  </sheetPr>
  <dimension ref="A1:AD30"/>
  <sheetViews>
    <sheetView tabSelected="0" workbookViewId="0" showGridLines="tru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16.81640625" customWidth="true" style="0"/>
  </cols>
  <sheetData>
    <row r="1" spans="1:30">
      <c r="A1" s="26" t="s">
        <v>155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92</v>
      </c>
      <c r="T1" s="2" t="s">
        <v>93</v>
      </c>
      <c r="U1" s="2" t="s">
        <v>122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102</v>
      </c>
    </row>
    <row r="2" spans="1:30">
      <c r="A2" s="7" t="s">
        <v>156</v>
      </c>
    </row>
    <row r="3" spans="1:30">
      <c r="A3" s="7" t="s">
        <v>26</v>
      </c>
    </row>
    <row r="4" spans="1:30">
      <c r="A4" s="7" t="s">
        <v>27</v>
      </c>
    </row>
    <row r="5" spans="1:30">
      <c r="A5" s="7" t="s">
        <v>29</v>
      </c>
    </row>
    <row r="6" spans="1:30">
      <c r="A6" s="7" t="s">
        <v>30</v>
      </c>
    </row>
    <row r="7" spans="1:30">
      <c r="A7" s="7" t="s">
        <v>31</v>
      </c>
    </row>
    <row r="8" spans="1:30">
      <c r="A8" s="7" t="s">
        <v>36</v>
      </c>
    </row>
    <row r="9" spans="1:30">
      <c r="A9" s="7" t="s">
        <v>38</v>
      </c>
    </row>
    <row r="10" spans="1:30">
      <c r="A10" s="7" t="s">
        <v>39</v>
      </c>
    </row>
    <row r="11" spans="1:30">
      <c r="A11" s="7" t="s">
        <v>40</v>
      </c>
    </row>
    <row r="12" spans="1:30">
      <c r="A12" s="7" t="s">
        <v>115</v>
      </c>
    </row>
    <row r="13" spans="1:30">
      <c r="A13" s="7" t="s">
        <v>44</v>
      </c>
    </row>
    <row r="14" spans="1:30">
      <c r="A14" s="7" t="s">
        <v>45</v>
      </c>
    </row>
    <row r="15" spans="1:30">
      <c r="A15" s="7" t="s">
        <v>157</v>
      </c>
    </row>
    <row r="16" spans="1:30">
      <c r="A16" s="26" t="s">
        <v>158</v>
      </c>
    </row>
    <row r="17" spans="1:30">
      <c r="A17" s="7" t="s">
        <v>156</v>
      </c>
    </row>
    <row r="18" spans="1:30">
      <c r="A18" s="7" t="s">
        <v>26</v>
      </c>
    </row>
    <row r="19" spans="1:30">
      <c r="A19" s="7" t="s">
        <v>27</v>
      </c>
    </row>
    <row r="20" spans="1:30">
      <c r="A20" s="7" t="s">
        <v>29</v>
      </c>
    </row>
    <row r="21" spans="1:30">
      <c r="A21" s="7" t="s">
        <v>30</v>
      </c>
    </row>
    <row r="22" spans="1:30">
      <c r="A22" s="7" t="s">
        <v>31</v>
      </c>
    </row>
    <row r="23" spans="1:30">
      <c r="A23" s="7" t="s">
        <v>36</v>
      </c>
    </row>
    <row r="24" spans="1:30">
      <c r="A24" s="7" t="s">
        <v>38</v>
      </c>
    </row>
    <row r="25" spans="1:30">
      <c r="A25" s="7" t="s">
        <v>39</v>
      </c>
    </row>
    <row r="26" spans="1:30">
      <c r="A26" s="7" t="s">
        <v>40</v>
      </c>
    </row>
    <row r="27" spans="1:30">
      <c r="A27" s="7" t="s">
        <v>115</v>
      </c>
    </row>
    <row r="28" spans="1:30">
      <c r="A28" s="7" t="s">
        <v>44</v>
      </c>
    </row>
    <row r="29" spans="1:30">
      <c r="A29" s="7" t="s">
        <v>45</v>
      </c>
    </row>
    <row r="30" spans="1:30">
      <c r="A30" s="7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proyeccion">
    <outlinePr summaryBelow="1" summaryRight="1"/>
  </sheetPr>
  <dimension ref="A1:X30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6.81640625" customWidth="true" style="0"/>
  </cols>
  <sheetData>
    <row r="1" spans="1:24">
      <c r="A1" s="26" t="s">
        <v>159</v>
      </c>
      <c r="B1" s="26" t="s">
        <v>139</v>
      </c>
      <c r="C1" s="26" t="s">
        <v>140</v>
      </c>
      <c r="D1" s="26" t="s">
        <v>141</v>
      </c>
      <c r="E1" s="26" t="s">
        <v>160</v>
      </c>
      <c r="F1" s="26" t="s">
        <v>143</v>
      </c>
      <c r="G1" s="26" t="s">
        <v>144</v>
      </c>
      <c r="H1" s="26" t="s">
        <v>145</v>
      </c>
      <c r="I1" s="26" t="s">
        <v>161</v>
      </c>
      <c r="J1" s="26" t="s">
        <v>139</v>
      </c>
      <c r="K1" s="26" t="s">
        <v>140</v>
      </c>
      <c r="L1" s="26" t="s">
        <v>141</v>
      </c>
      <c r="M1" s="26" t="s">
        <v>142</v>
      </c>
      <c r="N1" s="26" t="s">
        <v>143</v>
      </c>
      <c r="O1" s="26" t="s">
        <v>144</v>
      </c>
      <c r="P1" s="26" t="s">
        <v>145</v>
      </c>
      <c r="Q1" s="26" t="s">
        <v>162</v>
      </c>
      <c r="R1" s="26" t="s">
        <v>139</v>
      </c>
      <c r="S1" s="26" t="s">
        <v>140</v>
      </c>
      <c r="T1" s="26" t="s">
        <v>141</v>
      </c>
      <c r="U1" s="26" t="s">
        <v>142</v>
      </c>
      <c r="V1" s="26" t="s">
        <v>143</v>
      </c>
      <c r="W1" s="26" t="s">
        <v>144</v>
      </c>
      <c r="X1" s="26" t="s">
        <v>145</v>
      </c>
    </row>
    <row r="2" spans="1:24">
      <c r="A2" s="7" t="s">
        <v>156</v>
      </c>
    </row>
    <row r="3" spans="1:24">
      <c r="A3" s="7" t="s">
        <v>26</v>
      </c>
    </row>
    <row r="4" spans="1:24">
      <c r="A4" s="7" t="s">
        <v>27</v>
      </c>
    </row>
    <row r="5" spans="1:24">
      <c r="A5" s="7" t="s">
        <v>29</v>
      </c>
    </row>
    <row r="6" spans="1:24">
      <c r="A6" s="7" t="s">
        <v>30</v>
      </c>
    </row>
    <row r="7" spans="1:24">
      <c r="A7" s="7" t="s">
        <v>31</v>
      </c>
    </row>
    <row r="8" spans="1:24">
      <c r="A8" s="7" t="s">
        <v>36</v>
      </c>
    </row>
    <row r="9" spans="1:24">
      <c r="A9" s="7" t="s">
        <v>38</v>
      </c>
    </row>
    <row r="10" spans="1:24">
      <c r="A10" s="7" t="s">
        <v>39</v>
      </c>
    </row>
    <row r="11" spans="1:24">
      <c r="A11" s="7" t="s">
        <v>40</v>
      </c>
    </row>
    <row r="12" spans="1:24">
      <c r="A12" s="7" t="s">
        <v>115</v>
      </c>
    </row>
    <row r="13" spans="1:24">
      <c r="A13" s="7" t="s">
        <v>44</v>
      </c>
    </row>
    <row r="14" spans="1:24">
      <c r="A14" s="7" t="s">
        <v>45</v>
      </c>
    </row>
    <row r="15" spans="1:24">
      <c r="A15" s="7" t="s">
        <v>157</v>
      </c>
    </row>
    <row r="16" spans="1:24">
      <c r="A16" s="26" t="s">
        <v>163</v>
      </c>
    </row>
    <row r="17" spans="1:24">
      <c r="A17" s="7" t="s">
        <v>156</v>
      </c>
    </row>
    <row r="18" spans="1:24">
      <c r="A18" s="7" t="s">
        <v>26</v>
      </c>
    </row>
    <row r="19" spans="1:24">
      <c r="A19" s="7" t="s">
        <v>27</v>
      </c>
    </row>
    <row r="20" spans="1:24">
      <c r="A20" s="7" t="s">
        <v>29</v>
      </c>
    </row>
    <row r="21" spans="1:24">
      <c r="A21" s="7" t="s">
        <v>30</v>
      </c>
    </row>
    <row r="22" spans="1:24">
      <c r="A22" s="7" t="s">
        <v>31</v>
      </c>
    </row>
    <row r="23" spans="1:24">
      <c r="A23" s="7" t="s">
        <v>36</v>
      </c>
    </row>
    <row r="24" spans="1:24">
      <c r="A24" s="7" t="s">
        <v>38</v>
      </c>
    </row>
    <row r="25" spans="1:24">
      <c r="A25" s="7" t="s">
        <v>39</v>
      </c>
    </row>
    <row r="26" spans="1:24">
      <c r="A26" s="7" t="s">
        <v>40</v>
      </c>
    </row>
    <row r="27" spans="1:24">
      <c r="A27" s="7" t="s">
        <v>115</v>
      </c>
    </row>
    <row r="28" spans="1:24">
      <c r="A28" s="7" t="s">
        <v>44</v>
      </c>
    </row>
    <row r="29" spans="1:24">
      <c r="A29" s="7" t="s">
        <v>45</v>
      </c>
    </row>
    <row r="30" spans="1:24">
      <c r="A30" s="7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mxndll">
    <outlinePr summaryBelow="1" summaryRight="1"/>
  </sheetPr>
  <dimension ref="A1:AC87"/>
  <sheetViews>
    <sheetView tabSelected="0" workbookViewId="0" zoomScale="50" zoomScaleNormal="50" showGridLines="true" showRowColHeaders="1">
      <selection activeCell="Q66" sqref="Q66:Q87"/>
    </sheetView>
  </sheetViews>
  <sheetFormatPr defaultRowHeight="14.4" outlineLevelRow="0" outlineLevelCol="0"/>
  <sheetData>
    <row r="3" spans="1:29">
      <c r="B3" s="287" t="s">
        <v>164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7" t="s">
        <v>165</v>
      </c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>
      <c r="B4" s="269" t="s">
        <v>166</v>
      </c>
      <c r="C4" s="269" t="s">
        <v>167</v>
      </c>
      <c r="D4" s="269" t="s">
        <v>168</v>
      </c>
      <c r="E4" s="269" t="s">
        <v>169</v>
      </c>
      <c r="F4" s="269" t="s">
        <v>170</v>
      </c>
      <c r="G4" s="269" t="s">
        <v>171</v>
      </c>
      <c r="H4" s="269" t="s">
        <v>172</v>
      </c>
      <c r="I4" s="269" t="s">
        <v>173</v>
      </c>
      <c r="J4" s="269" t="s">
        <v>174</v>
      </c>
      <c r="K4" s="269" t="s">
        <v>175</v>
      </c>
      <c r="L4" s="269" t="s">
        <v>176</v>
      </c>
      <c r="M4" s="269" t="s">
        <v>177</v>
      </c>
      <c r="N4" s="269" t="s">
        <v>178</v>
      </c>
      <c r="O4" s="25"/>
      <c r="P4" s="40"/>
      <c r="Q4" s="269" t="s">
        <v>166</v>
      </c>
      <c r="R4" s="269" t="s">
        <v>167</v>
      </c>
      <c r="S4" s="269" t="s">
        <v>168</v>
      </c>
      <c r="T4" s="269" t="s">
        <v>169</v>
      </c>
      <c r="U4" s="269" t="s">
        <v>170</v>
      </c>
      <c r="V4" s="269" t="s">
        <v>171</v>
      </c>
      <c r="W4" s="269" t="s">
        <v>172</v>
      </c>
      <c r="X4" s="269" t="s">
        <v>173</v>
      </c>
      <c r="Y4" s="269" t="s">
        <v>174</v>
      </c>
      <c r="Z4" s="269" t="s">
        <v>175</v>
      </c>
      <c r="AA4" s="269" t="s">
        <v>176</v>
      </c>
      <c r="AB4" s="269" t="s">
        <v>177</v>
      </c>
      <c r="AC4" s="269" t="s">
        <v>178</v>
      </c>
    </row>
    <row r="5" spans="1:29">
      <c r="B5" s="8">
        <v>31876.853956344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>
        <f>SUM(B5:CHOOSE(MONTH(Mes_cierre),B5,C5,D5,E5,F5,G5,H5,I5,J5,K5,L5,M5))</f>
        <v>31876.853956344</v>
      </c>
      <c r="O5" s="40"/>
      <c r="P5" s="25"/>
      <c r="Q5" s="8">
        <v>2085.131576448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>
        <f>SUM(Q5:CHOOSE(MONTH(Mes_cierre),Q5,R5,S5,T5,U5,V5,W5,X5,Y5,Z5,AA5,AB5))</f>
        <v>2085.131576448</v>
      </c>
    </row>
    <row r="6" spans="1:29">
      <c r="B6" s="11">
        <v>9568.09096884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>
        <f>SUM(B6:CHOOSE(MONTH(Mes_cierre),B6,C6,D6,E6,F6,G6,H6,I6,J6,K6,L6,M6))</f>
        <v>9568.09096884</v>
      </c>
      <c r="O6" s="25"/>
      <c r="P6" s="25"/>
      <c r="Q6" s="11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>
        <f>SUM(Q6:CHOOSE(MONTH(Mes_cierre),Q6,R6,S6,T6,U6,V6,W6,X6,Y6,Z6,AA6,AB6))</f>
        <v>0</v>
      </c>
    </row>
    <row r="7" spans="1:29">
      <c r="B7" s="14">
        <v>22308.762987504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f>SUM(B7:CHOOSE(MONTH(Mes_cierre),B7,C7,D7,E7,F7,G7,H7,I7,J7,K7,L7,M7))</f>
        <v>22308.762987504</v>
      </c>
      <c r="O7" s="25"/>
      <c r="P7" s="25"/>
      <c r="Q7" s="14">
        <v>2085.131576448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>
        <f>SUM(Q7:CHOOSE(MONTH(Mes_cierre),Q7,R7,S7,T7,U7,V7,W7,X7,Y7,Z7,AA7,AB7))</f>
        <v>2085.131576448</v>
      </c>
    </row>
    <row r="8" spans="1:29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25"/>
      <c r="P8" s="25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 spans="1:29">
      <c r="B9" s="8">
        <v>19435.020953256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f>SUM(B9:CHOOSE(MONTH(Mes_cierre),B9,C9,D9,E9,F9,G9,H9,I9,J9,K9,L9,M9))</f>
        <v>19435.020953256</v>
      </c>
      <c r="O9" s="25"/>
      <c r="P9" s="25"/>
      <c r="Q9" s="8">
        <v>437.31276048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>
        <f>SUM(Q9:CHOOSE(MONTH(Mes_cierre),Q9,R9,S9,T9,U9,V9,W9,X9,Y9,Z9,AA9,AB9))</f>
        <v>437.31276048</v>
      </c>
    </row>
    <row r="10" spans="1:29">
      <c r="B10" s="11">
        <v>695.301725016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>
        <f>SUM(B10:CHOOSE(MONTH(Mes_cierre),B10,C10,D10,E10,F10,G10,H10,I10,J10,K10,L10,M10))</f>
        <v>695.301725016</v>
      </c>
      <c r="O10" s="25"/>
      <c r="P10" s="25"/>
      <c r="Q10" s="11">
        <v>0.473058072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>
        <f>SUM(Q10:CHOOSE(MONTH(Mes_cierre),Q10,R10,S10,T10,U10,V10,W10,X10,Y10,Z10,AA10,AB10))</f>
        <v>0.473058072</v>
      </c>
    </row>
    <row r="11" spans="1:29">
      <c r="B11" s="11">
        <v>376.417707912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>
        <f>SUM(B11:CHOOSE(MONTH(Mes_cierre),B11,C11,D11,E11,F11,G11,H11,I11,J11,K11,L11,M11))</f>
        <v>376.417707912</v>
      </c>
      <c r="O11" s="25"/>
      <c r="P11" s="25"/>
      <c r="Q11" s="11">
        <v>609.258549384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>
        <f>SUM(Q11:CHOOSE(MONTH(Mes_cierre),Q11,R11,S11,T11,U11,V11,W11,X11,Y11,Z11,AA11,AB11))</f>
        <v>609.258549384</v>
      </c>
    </row>
    <row r="12" spans="1:29">
      <c r="B12" s="14">
        <v>20506.740386184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>
        <f>SUM(B12:CHOOSE(MONTH(Mes_cierre),B12,C12,D12,E12,F12,G12,H12,I12,J12,K12,L12,M12))</f>
        <v>20506.740386184</v>
      </c>
      <c r="O12" s="25"/>
      <c r="P12" s="25"/>
      <c r="Q12" s="14">
        <v>1047.044367936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>
        <f>SUM(Q12:CHOOSE(MONTH(Mes_cierre),Q12,R12,S12,T12,U12,V12,W12,X12,Y12,Z12,AA12,AB12))</f>
        <v>1047.044367936</v>
      </c>
    </row>
    <row r="13" spans="1:29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25"/>
      <c r="P13" s="25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spans="1:29">
      <c r="B14" s="20">
        <v>1802.02260132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>
        <f>SUM(B14:CHOOSE(MONTH(Mes_cierre),B14,C14,D14,E14,F14,G14,H14,I14,J14,K14,L14,M14))</f>
        <v>1802.02260132</v>
      </c>
      <c r="O14" s="25"/>
      <c r="P14" s="288"/>
      <c r="Q14" s="20">
        <v>1038.087208512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>
        <f>SUM(Q14:CHOOSE(MONTH(Mes_cierre),Q14,R14,S14,T14,U14,V14,W14,X14,Y14,Z14,AA14,AB14))</f>
        <v>1038.087208512</v>
      </c>
    </row>
    <row r="15" spans="1:29">
      <c r="B15" s="8">
        <v>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>
        <f>SUM(B15:CHOOSE(MONTH(Mes_cierre),B15,C15,D15,E15,F15,G15,H15,I15,J15,K15,L15,M15))</f>
        <v>0</v>
      </c>
      <c r="O15" s="288"/>
      <c r="P15" s="288"/>
      <c r="Q15" s="8">
        <v>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>
        <f>SUM(Q15:CHOOSE(MONTH(Mes_cierre),Q15,R15,S15,T15,U15,V15,W15,X15,Y15,Z15,AA15,AB15))</f>
        <v>0</v>
      </c>
    </row>
    <row r="16" spans="1:29">
      <c r="B16" s="34">
        <v>0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f>SUM(B16:CHOOSE(MONTH(Mes_cierre),B16,C16,D16,E16,F16,G16,H16,I16,J16,K16,L16,M16))</f>
        <v>0</v>
      </c>
      <c r="O16" s="288"/>
      <c r="P16" s="25"/>
      <c r="Q16" s="34">
        <v>0</v>
      </c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f>SUM(Q16:CHOOSE(MONTH(Mes_cierre),Q16,R16,S16,T16,U16,V16,W16,X16,Y16,Z16,AA16,AB16))</f>
        <v>0</v>
      </c>
    </row>
    <row r="17" spans="1:29">
      <c r="B17" s="14">
        <v>1802.02260132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>
        <f>SUM(B17:CHOOSE(MONTH(Mes_cierre),B17,C17,D17,E17,F17,G17,H17,I17,J17,K17,L17,M17))</f>
        <v>1802.02260132</v>
      </c>
      <c r="O17" s="25"/>
      <c r="P17" s="25"/>
      <c r="Q17" s="14">
        <v>1038.087208512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>
        <f>SUM(Q17:CHOOSE(MONTH(Mes_cierre),Q17,R17,S17,T17,U17,V17,W17,X17,Y17,Z17,AA17,AB17))</f>
        <v>1038.087208512</v>
      </c>
    </row>
    <row r="18" spans="1:29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5"/>
      <c r="P18" s="25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 spans="1:29">
      <c r="B19" s="8">
        <v>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>
        <f>SUM(B19:CHOOSE(MONTH(Mes_cierre),B19,C19,D19,E19,F19,G19,H19,I19,J19,K19,L19,M19))</f>
        <v>0</v>
      </c>
      <c r="O19" s="25"/>
      <c r="P19" s="25"/>
      <c r="Q19" s="8">
        <v>0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>
        <f>SUM(Q19:CHOOSE(MONTH(Mes_cierre),Q19,R19,S19,T19,U19,V19,W19,X19,Y19,Z19,AA19,AB19))</f>
        <v>0</v>
      </c>
    </row>
    <row r="20" spans="1:29">
      <c r="B20" s="11">
        <v>-204.943359096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>
        <f>SUM(B20:CHOOSE(MONTH(Mes_cierre),B20,C20,D20,E20,F20,G20,H20,I20,J20,K20,L20,M20))</f>
        <v>-204.943359096</v>
      </c>
      <c r="O20" s="25"/>
      <c r="P20" s="25"/>
      <c r="Q20" s="11">
        <v>0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>
        <f>SUM(Q20:CHOOSE(MONTH(Mes_cierre),Q20,R20,S20,T20,U20,V20,W20,X20,Y20,Z20,AA20,AB20))</f>
        <v>0</v>
      </c>
    </row>
    <row r="21" spans="1:29">
      <c r="B21" s="11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f>SUM(B21:CHOOSE(MONTH(Mes_cierre),B21,C21,D21,E21,F21,G21,H21,I21,J21,K21,L21,M21))</f>
        <v>0</v>
      </c>
      <c r="O21" s="25"/>
      <c r="P21" s="25"/>
      <c r="Q21" s="11">
        <v>239.866936992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>
        <f>SUM(Q21:CHOOSE(MONTH(Mes_cierre),Q21,R21,S21,T21,U21,V21,W21,X21,Y21,Z21,AA21,AB21))</f>
        <v>239.866936992</v>
      </c>
    </row>
    <row r="22" spans="1:29">
      <c r="B22" s="11">
        <v>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>
        <f>SUM(B22:CHOOSE(MONTH(Mes_cierre),B22,C22,D22,E22,F22,G22,H22,I22,J22,K22,L22,M22))</f>
        <v>0</v>
      </c>
      <c r="O22" s="25"/>
      <c r="P22" s="25"/>
      <c r="Q22" s="11">
        <v>0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>
        <f>SUM(Q22:CHOOSE(MONTH(Mes_cierre),Q22,R22,S22,T22,U22,V22,W22,X22,Y22,Z22,AA22,AB22))</f>
        <v>0</v>
      </c>
    </row>
    <row r="23" spans="1:29">
      <c r="B23" s="11">
        <v>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f>SUM(B23:CHOOSE(MONTH(Mes_cierre),B23,C23,D23,E23,F23,G23,H23,I23,J23,K23,L23,M23))</f>
        <v>0</v>
      </c>
      <c r="O23" s="25"/>
      <c r="P23" s="25"/>
      <c r="Q23" s="11">
        <v>0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>
        <f>SUM(Q23:CHOOSE(MONTH(Mes_cierre),Q23,R23,S23,T23,U23,V23,W23,X23,Y23,Z23,AA23,AB23))</f>
        <v>0</v>
      </c>
    </row>
    <row r="24" spans="1:29">
      <c r="B24" s="14">
        <v>-204.943359096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f>SUM(B24:CHOOSE(MONTH(Mes_cierre),B24,C24,D24,E24,F24,G24,H24,I24,J24,K24,L24,M24))</f>
        <v>-204.943359096</v>
      </c>
      <c r="O24" s="25"/>
      <c r="P24" s="25"/>
      <c r="Q24" s="14">
        <v>239.866936992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>
        <f>SUM(Q24:CHOOSE(MONTH(Mes_cierre),Q24,R24,S24,T24,U24,V24,W24,X24,Y24,Z24,AA24,AB24))</f>
        <v>239.866936992</v>
      </c>
    </row>
    <row r="25" spans="1:29">
      <c r="B25" s="14">
        <v>2006.965960416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>
        <f>SUM(B25:CHOOSE(MONTH(Mes_cierre),B25,C25,D25,E25,F25,G25,H25,I25,J25,K25,L25,M25))</f>
        <v>2006.965960416</v>
      </c>
      <c r="O25" s="25"/>
      <c r="P25" s="25"/>
      <c r="Q25" s="14">
        <v>798.22027152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>
        <f>SUM(Q25:CHOOSE(MONTH(Mes_cierre),Q25,R25,S25,T25,U25,V25,W25,X25,Y25,Z25,AA25,AB25))</f>
        <v>798.22027152</v>
      </c>
    </row>
    <row r="26" spans="1:29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25"/>
      <c r="P26" s="25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f>SUM(B27:CHOOSE(MONTH(Mes_cierre),B27,C27,D27,E27,F27,G27,H27,I27,J27,K27,L27,M27))</f>
        <v>0</v>
      </c>
      <c r="O27" s="25"/>
      <c r="P27" s="25"/>
      <c r="Q27" s="8">
        <v>0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>
        <f>SUM(Q27:CHOOSE(MONTH(Mes_cierre),Q27,R27,S27,T27,U27,V27,W27,X27,Y27,Z27,AA27,AB27))</f>
        <v>0</v>
      </c>
    </row>
    <row r="28" spans="1:29">
      <c r="B28" s="11">
        <v>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>
        <f>SUM(B28:CHOOSE(MONTH(Mes_cierre),B28,C28,D28,E28,F28,G28,H28,I28,J28,K28,L28,M28))</f>
        <v>0</v>
      </c>
      <c r="O28" s="25"/>
      <c r="P28" s="25"/>
      <c r="Q28" s="11">
        <v>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>
        <f>SUM(Q28:CHOOSE(MONTH(Mes_cierre),Q28,R28,S28,T28,U28,V28,W28,X28,Y28,Z28,AA28,AB28))</f>
        <v>0</v>
      </c>
    </row>
    <row r="29" spans="1:29">
      <c r="B29" s="14">
        <v>2006.965960416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>
        <f>SUM(B29:CHOOSE(MONTH(Mes_cierre),B29,C29,D29,E29,F29,G29,H29,I29,J29,K29,L29,M29))</f>
        <v>2006.965960416</v>
      </c>
      <c r="O29" s="25"/>
      <c r="P29" s="25"/>
      <c r="Q29" s="14">
        <v>798.22027152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>
        <f>SUM(Q29:CHOOSE(MONTH(Mes_cierre),Q29,R29,S29,T29,U29,V29,W29,X29,Y29,Z29,AA29,AB29))</f>
        <v>798.22027152</v>
      </c>
    </row>
    <row r="30" spans="1:29">
      <c r="B30" s="14">
        <v>2178.440309232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>
        <f>SUM(B30:CHOOSE(MONTH(Mes_cierre),B30,C30,D30,E30,F30,G30,H30,I30,J30,K30,L30,M30))</f>
        <v>2178.440309232</v>
      </c>
      <c r="O30" s="25"/>
      <c r="P30" s="25"/>
      <c r="Q30" s="14">
        <v>1647.345757896</v>
      </c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>
        <f>SUM(Q30:CHOOSE(MONTH(Mes_cierre),Q30,R30,S30,T30,U30,V30,W30,X30,Y30,Z30,AA30,AB30))</f>
        <v>1647.345757896</v>
      </c>
    </row>
    <row r="31" spans="1:29">
      <c r="B31" s="14">
        <v>2383.383668328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>
        <f>SUM(B31:CHOOSE(MONTH(Mes_cierre),B31,C31,D31,E31,F31,G31,H31,I31,J31,K31,L31,M31))</f>
        <v>2383.383668328</v>
      </c>
      <c r="O31" s="25"/>
      <c r="P31" s="288"/>
      <c r="Q31" s="14">
        <v>1407.478820904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f>SUM(Q31:CHOOSE(MONTH(Mes_cierre),Q31,R31,S31,T31,U31,V31,W31,X31,Y31,Z31,AA31,AB31))</f>
        <v>1407.478820904</v>
      </c>
    </row>
    <row r="32" spans="1:29">
      <c r="B32" s="289">
        <v>0</v>
      </c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>
        <f>SUM(B32:CHOOSE(MONTH(Mes_cierre),B32,C32,D32,E32,F32,G32,H32,I32,J32,K32,L32,M32))</f>
        <v>0</v>
      </c>
      <c r="O32" s="288"/>
      <c r="P32" s="25"/>
      <c r="Q32" s="289">
        <v>0</v>
      </c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>
        <f>SUM(Q32:CHOOSE(MONTH(Mes_cierre),Q32,R32,S32,T32,U32,V32,W32,X32,Y32,Z32,AA32,AB32))</f>
        <v>0</v>
      </c>
    </row>
    <row r="33" spans="1:29">
      <c r="B33" s="14">
        <v>2383.383668328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>
        <f>SUM(B33:CHOOSE(MONTH(Mes_cierre),B33,C33,D33,E33,F33,G33,H33,I33,J33,K33,L33,M33))</f>
        <v>2383.383668328</v>
      </c>
      <c r="O33" s="25"/>
      <c r="P33" s="288"/>
      <c r="Q33" s="14">
        <v>1407.478820904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>
        <f>SUM(Q33:CHOOSE(MONTH(Mes_cierre),Q33,R33,S33,T33,U33,V33,W33,X33,Y33,Z33,AA33,AB33))</f>
        <v>1407.478820904</v>
      </c>
    </row>
    <row r="34" spans="1:29">
      <c r="B34" s="289">
        <v>0</v>
      </c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>
        <f>SUM(B34:CHOOSE(MONTH(Mes_cierre),B34,C34,D34,E34,F34,G34,H34,I34,J34,K34,L34,M34))</f>
        <v>0</v>
      </c>
      <c r="O34" s="288"/>
      <c r="P34" s="288"/>
      <c r="Q34" s="289">
        <v>0</v>
      </c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>
        <f>SUM(Q34:CHOOSE(MONTH(Mes_cierre),Q34,R34,S34,T34,U34,V34,W34,X34,Y34,Z34,AA34,AB34))</f>
        <v>0</v>
      </c>
    </row>
    <row r="35" spans="1:29">
      <c r="B35" s="14">
        <v>2383.383668328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>
        <f>SUM(B35:CHOOSE(MONTH(Mes_cierre),B35,C35,D35,E35,F35,G35,H35,I35,J35,K35,L35,M35))</f>
        <v>2383.383668328</v>
      </c>
      <c r="O35" s="25"/>
      <c r="P35" s="287"/>
      <c r="Q35" s="14">
        <v>1407.478820904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>
        <f>SUM(Q35:CHOOSE(MONTH(Mes_cierre),Q35,R35,S35,T35,U35,V35,W35,X35,Y35,Z35,AA35,AB35))</f>
        <v>1407.478820904</v>
      </c>
    </row>
    <row r="36" spans="1:29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>
      <c r="B38" s="287" t="s">
        <v>179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87" t="s">
        <v>180</v>
      </c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>
      <c r="B39" s="269" t="s">
        <v>181</v>
      </c>
      <c r="C39" s="269" t="s">
        <v>182</v>
      </c>
      <c r="D39" s="269" t="s">
        <v>183</v>
      </c>
      <c r="E39" s="269" t="s">
        <v>184</v>
      </c>
      <c r="F39" s="269" t="s">
        <v>170</v>
      </c>
      <c r="G39" s="269" t="s">
        <v>185</v>
      </c>
      <c r="H39" s="269" t="s">
        <v>186</v>
      </c>
      <c r="I39" s="269" t="s">
        <v>187</v>
      </c>
      <c r="J39" s="269" t="s">
        <v>188</v>
      </c>
      <c r="K39" s="269" t="s">
        <v>189</v>
      </c>
      <c r="L39" s="269" t="s">
        <v>190</v>
      </c>
      <c r="M39" s="269" t="s">
        <v>191</v>
      </c>
      <c r="N39" s="269" t="s">
        <v>178</v>
      </c>
      <c r="O39" s="25"/>
      <c r="P39" s="25"/>
      <c r="Q39" s="269" t="s">
        <v>181</v>
      </c>
      <c r="R39" s="269" t="s">
        <v>182</v>
      </c>
      <c r="S39" s="269" t="s">
        <v>183</v>
      </c>
      <c r="T39" s="269" t="s">
        <v>184</v>
      </c>
      <c r="U39" s="269" t="s">
        <v>170</v>
      </c>
      <c r="V39" s="269" t="s">
        <v>185</v>
      </c>
      <c r="W39" s="269" t="s">
        <v>186</v>
      </c>
      <c r="X39" s="269" t="s">
        <v>187</v>
      </c>
      <c r="Y39" s="269" t="s">
        <v>188</v>
      </c>
      <c r="Z39" s="269" t="s">
        <v>189</v>
      </c>
      <c r="AA39" s="269" t="s">
        <v>190</v>
      </c>
      <c r="AB39" s="269" t="s">
        <v>191</v>
      </c>
      <c r="AC39" s="269" t="s">
        <v>178</v>
      </c>
    </row>
    <row r="40" spans="1:29">
      <c r="B40" s="8">
        <v>28326.0661128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>
        <f>SUM(B40:CHOOSE(MONTH(Mes_cierre),B40,C40,D40,E40,F40,G40,H40,I40,J40,K40,L40,M40))</f>
        <v>28326.0661128</v>
      </c>
      <c r="O40" s="25"/>
      <c r="P40" s="25"/>
      <c r="Q40" s="8">
        <v>2100.8511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>
        <f>SUM(Q40:CHOOSE(MONTH(Mes_cierre),Q40,R40,S40,T40,U40,V40,W40,X40,Y40,Z40,AA40,AB40))</f>
        <v>2100.8511</v>
      </c>
    </row>
    <row r="41" spans="1:29">
      <c r="B41" s="11">
        <v>8858.866896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>
        <f>SUM(B41:CHOOSE(MONTH(Mes_cierre),B41,C41,D41,E41,F41,G41,H41,I41,J41,K41,L41,M41))</f>
        <v>8858.866896</v>
      </c>
      <c r="O41" s="25"/>
      <c r="P41" s="25"/>
      <c r="Q41" s="11">
        <v>0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>
        <f>SUM(Q41:CHOOSE(MONTH(Mes_cierre),Q41,R41,S41,T41,U41,V41,W41,X41,Y41,Z41,AA41,AB41))</f>
        <v>0</v>
      </c>
    </row>
    <row r="42" spans="1:29">
      <c r="B42" s="14">
        <v>19467.1992168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f>SUM(B42:CHOOSE(MONTH(Mes_cierre),B42,C42,D42,E42,F42,G42,H42,I42,J42,K42,L42,M42))</f>
        <v>19467.1992168</v>
      </c>
      <c r="O42" s="25"/>
      <c r="P42" s="25"/>
      <c r="Q42" s="14">
        <v>2100.8511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>
        <f>SUM(Q42:CHOOSE(MONTH(Mes_cierre),Q42,R42,S42,T42,U42,V42,W42,X42,Y42,Z42,AA42,AB42))</f>
        <v>2100.8511</v>
      </c>
    </row>
    <row r="43" spans="1:29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25"/>
      <c r="P43" s="25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>
        <v>0</v>
      </c>
    </row>
    <row r="44" spans="1:29">
      <c r="B44" s="8">
        <v>18879.1227072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>
        <f>SUM(B44:CHOOSE(MONTH(Mes_cierre),B44,C44,D44,E44,F44,G44,H44,I44,J44,K44,L44,M44))</f>
        <v>18879.1227072</v>
      </c>
      <c r="O44" s="25"/>
      <c r="P44" s="25"/>
      <c r="Q44" s="8">
        <v>671.46336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>
        <f>SUM(Q44:CHOOSE(MONTH(Mes_cierre),Q44,R44,S44,T44,U44,V44,W44,X44,Y44,Z44,AA44,AB44))</f>
        <v>671.46336</v>
      </c>
    </row>
    <row r="45" spans="1:29">
      <c r="B45" s="11">
        <v>1249.2049968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>
        <f>SUM(B45:CHOOSE(MONTH(Mes_cierre),B45,C45,D45,E45,F45,G45,H45,I45,J45,K45,L45,M45))</f>
        <v>1249.2049968</v>
      </c>
      <c r="O45" s="25"/>
      <c r="P45" s="25"/>
      <c r="Q45" s="11">
        <v>0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>
        <f>SUM(Q45:CHOOSE(MONTH(Mes_cierre),Q45,R45,S45,T45,U45,V45,W45,X45,Y45,Z45,AA45,AB45))</f>
        <v>0</v>
      </c>
    </row>
    <row r="46" spans="1:29">
      <c r="B46" s="11">
        <v>268.8684912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f>SUM(B46:CHOOSE(MONTH(Mes_cierre),B46,C46,D46,E46,F46,G46,H46,I46,J46,K46,L46,M46))</f>
        <v>268.8684912</v>
      </c>
      <c r="O46" s="25"/>
      <c r="P46" s="25"/>
      <c r="Q46" s="11">
        <v>277.0393104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>
        <f>SUM(Q46:CHOOSE(MONTH(Mes_cierre),Q46,R46,S46,T46,U46,V46,W46,X46,Y46,Z46,AA46,AB46))</f>
        <v>277.0393104</v>
      </c>
    </row>
    <row r="47" spans="1:29">
      <c r="B47" s="14">
        <v>20397.1961952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f>SUM(B47:CHOOSE(MONTH(Mes_cierre),B47,C47,D47,E47,F47,G47,H47,I47,J47,K47,L47,M47))</f>
        <v>20397.1961952</v>
      </c>
      <c r="O47" s="25"/>
      <c r="P47" s="25"/>
      <c r="Q47" s="14">
        <v>948.5026704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>
        <f>SUM(Q47:CHOOSE(MONTH(Mes_cierre),Q47,R47,S47,T47,U47,V47,W47,X47,Y47,Z47,AA47,AB47))</f>
        <v>948.5026704</v>
      </c>
    </row>
    <row r="48" spans="1:29">
      <c r="B48" s="20">
        <v>-929.99697839999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>
        <f>SUM(B48:CHOOSE(MONTH(Mes_cierre),B48,C48,D48,E48,F48,G48,H48,I48,J48,K48,L48,M48))</f>
        <v>-929.99697839999</v>
      </c>
      <c r="O48" s="25"/>
      <c r="P48" s="25"/>
      <c r="Q48" s="20">
        <v>1152.3484296</v>
      </c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>
        <f>SUM(Q48:CHOOSE(MONTH(Mes_cierre),Q48,R48,S48,T48,U48,V48,W48,X48,Y48,Z48,AA48,AB48))</f>
        <v>1152.3484296</v>
      </c>
    </row>
    <row r="49" spans="1:29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25"/>
      <c r="P49" s="25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>
        <v>0</v>
      </c>
    </row>
    <row r="50" spans="1:29">
      <c r="B50" s="8">
        <v>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>
        <f>SUM(B50:CHOOSE(MONTH(Mes_cierre),B50,C50,D50,E50,F50,G50,H50,I50,J50,K50,L50,M50))</f>
        <v>0</v>
      </c>
      <c r="O50" s="25"/>
      <c r="P50" s="25"/>
      <c r="Q50" s="8">
        <v>0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>
        <f>SUM(Q50:CHOOSE(MONTH(Mes_cierre),Q50,R50,S50,T50,U50,V50,W50,X50,Y50,Z50,AA50,AB50))</f>
        <v>0</v>
      </c>
    </row>
    <row r="51" spans="1:29">
      <c r="B51" s="11">
        <v>-211.146912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>
        <f>SUM(B51:CHOOSE(MONTH(Mes_cierre),B51,C51,D51,E51,F51,G51,H51,I51,J51,K51,L51,M51))</f>
        <v>-211.146912</v>
      </c>
      <c r="O51" s="25"/>
      <c r="P51" s="25"/>
      <c r="Q51" s="11">
        <v>0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>
        <f>SUM(Q51:CHOOSE(MONTH(Mes_cierre),Q51,R51,S51,T51,U51,V51,W51,X51,Y51,Z51,AA51,AB51))</f>
        <v>0</v>
      </c>
    </row>
    <row r="52" spans="1:29">
      <c r="B52" s="11">
        <v>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>
        <f>SUM(B52:CHOOSE(MONTH(Mes_cierre),B52,C52,D52,E52,F52,G52,H52,I52,J52,K52,L52,M52))</f>
        <v>0</v>
      </c>
      <c r="O52" s="25"/>
      <c r="P52" s="25"/>
      <c r="Q52" s="11">
        <v>175.95576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>
        <f>SUM(Q52:CHOOSE(MONTH(Mes_cierre),Q52,R52,S52,T52,U52,V52,W52,X52,Y52,Z52,AA52,AB52))</f>
        <v>175.95576</v>
      </c>
    </row>
    <row r="53" spans="1:29">
      <c r="B53" s="11">
        <v>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>
        <f>SUM(B53:CHOOSE(MONTH(Mes_cierre),B53,C53,D53,E53,F53,G53,H53,I53,J53,K53,L53,M53))</f>
        <v>0</v>
      </c>
      <c r="O53" s="25"/>
      <c r="P53" s="25"/>
      <c r="Q53" s="11">
        <v>0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>
        <f>SUM(Q53:CHOOSE(MONTH(Mes_cierre),Q53,R53,S53,T53,U53,V53,W53,X53,Y53,Z53,AA53,AB53))</f>
        <v>0</v>
      </c>
    </row>
    <row r="54" spans="1:29">
      <c r="B54" s="11">
        <v>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>
        <f>SUM(B54:CHOOSE(MONTH(Mes_cierre),B54,C54,D54,E54,F54,G54,H54,I54,J54,K54,L54,M54))</f>
        <v>0</v>
      </c>
      <c r="O54" s="25"/>
      <c r="P54" s="25"/>
      <c r="Q54" s="11">
        <v>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>
        <f>SUM(Q54:CHOOSE(MONTH(Mes_cierre),Q54,R54,S54,T54,U54,V54,W54,X54,Y54,Z54,AA54,AB54))</f>
        <v>0</v>
      </c>
    </row>
    <row r="55" spans="1:29">
      <c r="B55" s="290">
        <v>-211.146912</v>
      </c>
      <c r="C55" s="290"/>
      <c r="D55" s="290"/>
      <c r="E55" s="290"/>
      <c r="F55" s="290"/>
      <c r="G55" s="290"/>
      <c r="H55" s="290"/>
      <c r="I55" s="290"/>
      <c r="J55" s="290"/>
      <c r="K55" s="290"/>
      <c r="L55" s="290"/>
      <c r="M55" s="290"/>
      <c r="N55" s="290">
        <f>SUM(B55:CHOOSE(MONTH(Mes_cierre),B55,C55,D55,E55,F55,G55,H55,I55,J55,K55,L55,M55))</f>
        <v>-211.146912</v>
      </c>
      <c r="O55" s="25"/>
      <c r="P55" s="25"/>
      <c r="Q55" s="290">
        <v>175.95576</v>
      </c>
      <c r="R55" s="290"/>
      <c r="S55" s="290"/>
      <c r="T55" s="290"/>
      <c r="U55" s="290"/>
      <c r="V55" s="290"/>
      <c r="W55" s="290"/>
      <c r="X55" s="290"/>
      <c r="Y55" s="290"/>
      <c r="Z55" s="290"/>
      <c r="AA55" s="290"/>
      <c r="AB55" s="290"/>
      <c r="AC55" s="290">
        <f>SUM(Q55:CHOOSE(MONTH(Mes_cierre),Q55,R55,S55,T55,U55,V55,W55,X55,Y55,Z55,AA55,AB55))</f>
        <v>175.95576</v>
      </c>
    </row>
    <row r="56" spans="1:29">
      <c r="B56" s="14">
        <v>-718.8500664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>
        <f>SUM(B56:CHOOSE(MONTH(Mes_cierre),B56,C56,D56,E56,F56,G56,H56,I56,J56,K56,L56,M56))</f>
        <v>-718.8500664</v>
      </c>
      <c r="O56" s="25"/>
      <c r="P56" s="25"/>
      <c r="Q56" s="14">
        <v>976.3926696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>
        <f>SUM(Q56:CHOOSE(MONTH(Mes_cierre),Q56,R56,S56,T56,U56,V56,W56,X56,Y56,Z56,AA56,AB56))</f>
        <v>976.3926696</v>
      </c>
    </row>
    <row r="57" spans="1:29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25"/>
      <c r="P57" s="25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>
        <v>0</v>
      </c>
    </row>
    <row r="58" spans="1:29">
      <c r="B58" s="8">
        <v>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>
        <f>SUM(B58:CHOOSE(MONTH(Mes_cierre),B58,C58,D58,E58,F58,G58,H58,I58,J58,K58,L58,M58))</f>
        <v>0</v>
      </c>
      <c r="O58" s="25"/>
      <c r="P58" s="25"/>
      <c r="Q58" s="8">
        <v>0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>
        <f>SUM(Q58:CHOOSE(MONTH(Mes_cierre),Q58,R58,S58,T58,U58,V58,W58,X58,Y58,Z58,AA58,AB58))</f>
        <v>0</v>
      </c>
    </row>
    <row r="59" spans="1:29">
      <c r="B59" s="11">
        <v>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>
        <f>SUM(B59:CHOOSE(MONTH(Mes_cierre),B59,C59,D59,E59,F59,G59,H59,I59,J59,K59,L59,M59))</f>
        <v>0</v>
      </c>
      <c r="O59" s="25"/>
      <c r="P59" s="25"/>
      <c r="Q59" s="11">
        <v>0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>
        <f>SUM(Q59:CHOOSE(MONTH(Mes_cierre),Q59,R59,S59,T59,U59,V59,W59,X59,Y59,Z59,AA59,AB59))</f>
        <v>0</v>
      </c>
    </row>
    <row r="60" spans="1:29">
      <c r="B60" s="14">
        <v>-718.8500664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>
        <f>SUM(B60:CHOOSE(MONTH(Mes_cierre),B60,C60,D60,E60,F60,G60,H60,I60,J60,K60,L60,M60))</f>
        <v>-718.8500664</v>
      </c>
      <c r="O60" s="25"/>
      <c r="P60" s="25"/>
      <c r="Q60" s="14">
        <v>976.3926696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>
        <f>SUM(Q60:CHOOSE(MONTH(Mes_cierre),Q60,R60,S60,T60,U60,V60,W60,X60,Y60,Z60,AA60,AB60))</f>
        <v>976.3926696</v>
      </c>
    </row>
    <row r="61" spans="1:29">
      <c r="B61" s="20">
        <v>-661.12848719999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>
        <f>SUM(B61:CHOOSE(MONTH(Mes_cierre),B61,C61,D61,E61,F61,G61,H61,I61,J61,K61,L61,M61))</f>
        <v>-661.12848719999</v>
      </c>
      <c r="O61" s="25"/>
      <c r="P61" s="25"/>
      <c r="Q61" s="20">
        <v>1429.38774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>
        <f>SUM(Q61:CHOOSE(MONTH(Mes_cierre),Q61,R61,S61,T61,U61,V61,W61,X61,Y61,Z61,AA61,AB61))</f>
        <v>1429.38774</v>
      </c>
    </row>
    <row r="62" spans="1:29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>
        <v>0</v>
      </c>
    </row>
    <row r="63" spans="1:29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>
      <c r="B64" s="287" t="s">
        <v>192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87" t="s">
        <v>193</v>
      </c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>
      <c r="B65" s="269" t="s">
        <v>181</v>
      </c>
      <c r="C65" s="269" t="s">
        <v>182</v>
      </c>
      <c r="D65" s="269" t="s">
        <v>183</v>
      </c>
      <c r="E65" s="269" t="s">
        <v>184</v>
      </c>
      <c r="F65" s="269" t="s">
        <v>170</v>
      </c>
      <c r="G65" s="269" t="s">
        <v>185</v>
      </c>
      <c r="H65" s="269" t="s">
        <v>186</v>
      </c>
      <c r="I65" s="269" t="s">
        <v>187</v>
      </c>
      <c r="J65" s="269" t="s">
        <v>188</v>
      </c>
      <c r="K65" s="269" t="s">
        <v>189</v>
      </c>
      <c r="L65" s="269" t="s">
        <v>190</v>
      </c>
      <c r="M65" s="269" t="s">
        <v>191</v>
      </c>
      <c r="N65" s="269" t="s">
        <v>178</v>
      </c>
      <c r="O65" s="25"/>
      <c r="P65" s="25"/>
      <c r="Q65" s="269" t="s">
        <v>16</v>
      </c>
      <c r="R65" s="269" t="s">
        <v>16</v>
      </c>
      <c r="S65" s="269" t="s">
        <v>16</v>
      </c>
      <c r="T65" s="269" t="s">
        <v>16</v>
      </c>
      <c r="U65" s="269" t="s">
        <v>16</v>
      </c>
      <c r="V65" s="269" t="s">
        <v>185</v>
      </c>
      <c r="W65" s="269" t="s">
        <v>186</v>
      </c>
      <c r="X65" s="269" t="s">
        <v>187</v>
      </c>
      <c r="Y65" s="269" t="s">
        <v>188</v>
      </c>
      <c r="Z65" s="269" t="s">
        <v>189</v>
      </c>
      <c r="AA65" s="269" t="s">
        <v>190</v>
      </c>
      <c r="AB65" s="269" t="s">
        <v>191</v>
      </c>
      <c r="AC65" s="269" t="s">
        <v>178</v>
      </c>
    </row>
    <row r="66" spans="1:29">
      <c r="B66" s="8">
        <v>27242.972252352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>
        <f>SUM(B66:CHOOSE(MONTH(Mes_cierre),B66,C66,D66,E66,F66,G66,H66,I66,J66,K66,L66,M66))</f>
        <v>27242.972252352</v>
      </c>
      <c r="O66" s="25"/>
      <c r="P66" s="25"/>
      <c r="Q66" s="8">
        <v>2664.635804568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>
        <f>SUM(Q66:CHOOSE(MONTH(Mes_cierre),Q66,R66,S66,T66,U66,V66,W66,X66,Y66,Z66,AA66,AB66))</f>
        <v>2664.635804568</v>
      </c>
    </row>
    <row r="67" spans="1:29">
      <c r="B67" s="11">
        <v>8934.023668536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>
        <f>SUM(B67:CHOOSE(MONTH(Mes_cierre),B67,C67,D67,E67,F67,G67,H67,I67,J67,K67,L67,M67))</f>
        <v>8934.023668536</v>
      </c>
      <c r="O67" s="25"/>
      <c r="P67" s="25"/>
      <c r="Q67" s="11">
        <v>0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>
        <f>SUM(Q67:CHOOSE(MONTH(Mes_cierre),Q67,R67,S67,T67,U67,V67,W67,X67,Y67,Z67,AA67,AB67))</f>
        <v>0</v>
      </c>
    </row>
    <row r="68" spans="1:29">
      <c r="B68" s="14">
        <v>18308.948583816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>
        <f>SUM(B68:CHOOSE(MONTH(Mes_cierre),B68,C68,D68,E68,F68,G68,H68,I68,J68,K68,L68,M68))</f>
        <v>18308.948583816</v>
      </c>
      <c r="O68" s="25"/>
      <c r="P68" s="25"/>
      <c r="Q68" s="14">
        <v>2664.635804568</v>
      </c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>
        <f>SUM(Q68:CHOOSE(MONTH(Mes_cierre),Q68,R68,S68,T68,U68,V68,W68,X68,Y68,Z68,AA68,AB68))</f>
        <v>2664.635804568</v>
      </c>
    </row>
    <row r="69" spans="1:29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25"/>
      <c r="P69" s="25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>
        <v>0</v>
      </c>
    </row>
    <row r="70" spans="1:29">
      <c r="B70" s="8">
        <v>18563.403062304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>
        <f>SUM(B70:CHOOSE(MONTH(Mes_cierre),B70,C70,D70,E70,F70,G70,H70,I70,J70,K70,L70,M70))</f>
        <v>18563.403062304</v>
      </c>
      <c r="O70" s="25"/>
      <c r="P70" s="25"/>
      <c r="Q70" s="8">
        <v>1639.63565964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>
        <f>SUM(Q70:CHOOSE(MONTH(Mes_cierre),Q70,R70,S70,T70,U70,V70,W70,X70,Y70,Z70,AA70,AB70))</f>
        <v>1639.63565964</v>
      </c>
    </row>
    <row r="71" spans="1:29">
      <c r="B71" s="11">
        <v>1153.21202856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>
        <f>SUM(B71:CHOOSE(MONTH(Mes_cierre),B71,C71,D71,E71,F71,G71,H71,I71,J71,K71,L71,M71))</f>
        <v>1153.21202856</v>
      </c>
      <c r="O71" s="25"/>
      <c r="P71" s="25"/>
      <c r="Q71" s="11">
        <v>1.205195832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>
        <f>SUM(Q71:CHOOSE(MONTH(Mes_cierre),Q71,R71,S71,T71,U71,V71,W71,X71,Y71,Z71,AA71,AB71))</f>
        <v>1.205195832</v>
      </c>
    </row>
    <row r="72" spans="1:29">
      <c r="B72" s="11">
        <v>314.045031456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>
        <f>SUM(B72:CHOOSE(MONTH(Mes_cierre),B72,C72,D72,E72,F72,G72,H72,I72,J72,K72,L72,M72))</f>
        <v>314.045031456</v>
      </c>
      <c r="O72" s="25"/>
      <c r="P72" s="25"/>
      <c r="Q72" s="11">
        <v>424.769541768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>
        <f>SUM(Q72:CHOOSE(MONTH(Mes_cierre),Q72,R72,S72,T72,U72,V72,W72,X72,Y72,Z72,AA72,AB72))</f>
        <v>424.769541768</v>
      </c>
    </row>
    <row r="73" spans="1:29">
      <c r="B73" s="14">
        <v>20030.66012232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f>SUM(B73:CHOOSE(MONTH(Mes_cierre),B73,C73,D73,E73,F73,G73,H73,I73,J73,K73,L73,M73))</f>
        <v>20030.66012232</v>
      </c>
      <c r="O73" s="25"/>
      <c r="P73" s="25"/>
      <c r="Q73" s="14">
        <v>2065.61039724</v>
      </c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>
        <f>SUM(Q73:CHOOSE(MONTH(Mes_cierre),Q73,R73,S73,T73,U73,V73,W73,X73,Y73,Z73,AA73,AB73))</f>
        <v>2065.61039724</v>
      </c>
    </row>
    <row r="74" spans="1:29">
      <c r="B74" s="20">
        <v>-1721.711538504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>
        <f>SUM(B74:CHOOSE(MONTH(Mes_cierre),B74,C74,D74,E74,F74,G74,H74,I74,J74,K74,L74,M74))</f>
        <v>-1721.711538504</v>
      </c>
      <c r="O74" s="25"/>
      <c r="P74" s="25"/>
      <c r="Q74" s="20">
        <v>599.025407328</v>
      </c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>
        <f>SUM(Q74:CHOOSE(MONTH(Mes_cierre),Q74,R74,S74,T74,U74,V74,W74,X74,Y74,Z74,AA74,AB74))</f>
        <v>599.025407328</v>
      </c>
    </row>
    <row r="75" spans="1:29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25"/>
      <c r="P75" s="25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>
        <v>0</v>
      </c>
    </row>
    <row r="76" spans="1:29">
      <c r="B76" s="8">
        <v>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>
        <f>SUM(B76:CHOOSE(MONTH(Mes_cierre),B76,C76,D76,E76,F76,G76,H76,I76,J76,K76,L76,M76))</f>
        <v>0</v>
      </c>
      <c r="O76" s="25"/>
      <c r="P76" s="25"/>
      <c r="Q76" s="8">
        <v>0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>
        <f>SUM(Q76:CHOOSE(MONTH(Mes_cierre),Q76,R76,S76,T76,U76,V76,W76,X76,Y76,Z76,AA76,AB76))</f>
        <v>0</v>
      </c>
    </row>
    <row r="77" spans="1:29">
      <c r="B77" s="11">
        <v>-183.37017168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>
        <f>SUM(B77:CHOOSE(MONTH(Mes_cierre),B77,C77,D77,E77,F77,G77,H77,I77,J77,K77,L77,M77))</f>
        <v>-183.37017168</v>
      </c>
      <c r="O77" s="25"/>
      <c r="P77" s="25"/>
      <c r="Q77" s="11">
        <v>63.538433928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>
        <f>SUM(Q77:CHOOSE(MONTH(Mes_cierre),Q77,R77,S77,T77,U77,V77,W77,X77,Y77,Z77,AA77,AB77))</f>
        <v>63.538433928</v>
      </c>
    </row>
    <row r="78" spans="1:29">
      <c r="B78" s="11">
        <v>172.568106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>
        <f>SUM(B78:CHOOSE(MONTH(Mes_cierre),B78,C78,D78,E78,F78,G78,H78,I78,J78,K78,L78,M78))</f>
        <v>172.568106</v>
      </c>
      <c r="O78" s="25"/>
      <c r="P78" s="25"/>
      <c r="Q78" s="11">
        <v>814.729169016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>
        <f>SUM(Q78:CHOOSE(MONTH(Mes_cierre),Q78,R78,S78,T78,U78,V78,W78,X78,Y78,Z78,AA78,AB78))</f>
        <v>814.729169016</v>
      </c>
    </row>
    <row r="79" spans="1:29">
      <c r="B79" s="11">
        <v>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>
        <f>SUM(B79:CHOOSE(MONTH(Mes_cierre),B79,C79,D79,E79,F79,G79,H79,I79,J79,K79,L79,M79))</f>
        <v>0</v>
      </c>
      <c r="O79" s="25"/>
      <c r="P79" s="25"/>
      <c r="Q79" s="11">
        <v>0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>
        <f>SUM(Q79:CHOOSE(MONTH(Mes_cierre),Q79,R79,S79,T79,U79,V79,W79,X79,Y79,Z79,AA79,AB79))</f>
        <v>0</v>
      </c>
    </row>
    <row r="80" spans="1:29">
      <c r="B80" s="11">
        <v>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>
        <f>SUM(B80:CHOOSE(MONTH(Mes_cierre),B80,C80,D80,E80,F80,G80,H80,I80,J80,K80,L80,M80))</f>
        <v>0</v>
      </c>
      <c r="O80" s="25"/>
      <c r="P80" s="25"/>
      <c r="Q80" s="11">
        <v>0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>
        <f>SUM(Q80:CHOOSE(MONTH(Mes_cierre),Q80,R80,S80,T80,U80,V80,W80,X80,Y80,Z80,AA80,AB80))</f>
        <v>0</v>
      </c>
    </row>
    <row r="81" spans="1:29">
      <c r="B81" s="290">
        <v>-10.80206568</v>
      </c>
      <c r="C81" s="290"/>
      <c r="D81" s="290"/>
      <c r="E81" s="290"/>
      <c r="F81" s="290"/>
      <c r="G81" s="290"/>
      <c r="H81" s="290"/>
      <c r="I81" s="290"/>
      <c r="J81" s="290"/>
      <c r="K81" s="290"/>
      <c r="L81" s="290"/>
      <c r="M81" s="290"/>
      <c r="N81" s="290">
        <f>SUM(B81:CHOOSE(MONTH(Mes_cierre),B81,C81,D81,E81,F81,G81,H81,I81,J81,K81,L81,M81))</f>
        <v>-10.80206568</v>
      </c>
      <c r="O81" s="25"/>
      <c r="P81" s="25"/>
      <c r="Q81" s="290">
        <v>878.267602944</v>
      </c>
      <c r="R81" s="290"/>
      <c r="S81" s="290"/>
      <c r="T81" s="290"/>
      <c r="U81" s="290"/>
      <c r="V81" s="290"/>
      <c r="W81" s="290"/>
      <c r="X81" s="290"/>
      <c r="Y81" s="290"/>
      <c r="Z81" s="290"/>
      <c r="AA81" s="290"/>
      <c r="AB81" s="290"/>
      <c r="AC81" s="290">
        <f>SUM(Q81:CHOOSE(MONTH(Mes_cierre),Q81,R81,S81,T81,U81,V81,W81,X81,Y81,Z81,AA81,AB81))</f>
        <v>878.267602944</v>
      </c>
    </row>
    <row r="82" spans="1:29">
      <c r="B82" s="14">
        <v>-1710.909472824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>
        <f>SUM(B82:CHOOSE(MONTH(Mes_cierre),B82,C82,D82,E82,F82,G82,H82,I82,J82,K82,L82,M82))</f>
        <v>-1710.909472824</v>
      </c>
      <c r="O82" s="25"/>
      <c r="P82" s="25"/>
      <c r="Q82" s="14">
        <v>-279.242195616</v>
      </c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>
        <f>SUM(Q82:CHOOSE(MONTH(Mes_cierre),Q82,R82,S82,T82,U82,V82,W82,X82,Y82,Z82,AA82,AB82))</f>
        <v>-279.242195616</v>
      </c>
    </row>
    <row r="83" spans="1:29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25"/>
      <c r="P83" s="25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>
        <v>0</v>
      </c>
    </row>
    <row r="84" spans="1:29">
      <c r="B84" s="8">
        <v>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>
        <f>SUM(B84:CHOOSE(MONTH(Mes_cierre),B84,C84,D84,E84,F84,G84,H84,I84,J84,K84,L84,M84))</f>
        <v>0</v>
      </c>
      <c r="O84" s="25"/>
      <c r="P84" s="25"/>
      <c r="Q84" s="8">
        <v>0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>
        <f>SUM(Q84:CHOOSE(MONTH(Mes_cierre),Q84,R84,S84,T84,U84,V84,W84,X84,Y84,Z84,AA84,AB84))</f>
        <v>0</v>
      </c>
    </row>
    <row r="85" spans="1:29">
      <c r="B85" s="11">
        <v>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>
        <f>SUM(B85:CHOOSE(MONTH(Mes_cierre),B85,C85,D85,E85,F85,G85,H85,I85,J85,K85,L85,M85))</f>
        <v>0</v>
      </c>
      <c r="O85" s="25"/>
      <c r="P85" s="25"/>
      <c r="Q85" s="11">
        <v>0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>
        <f>SUM(Q85:CHOOSE(MONTH(Mes_cierre),Q85,R85,S85,T85,U85,V85,W85,X85,Y85,Z85,AA85,AB85))</f>
        <v>0</v>
      </c>
    </row>
    <row r="86" spans="1:29">
      <c r="B86" s="14">
        <v>-1710.909472824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>
        <f>SUM(B86:CHOOSE(MONTH(Mes_cierre),B86,C86,D86,E86,F86,G86,H86,I86,J86,K86,L86,M86))</f>
        <v>-1710.909472824</v>
      </c>
      <c r="O86" s="25"/>
      <c r="P86" s="25"/>
      <c r="Q86" s="14">
        <v>-279.242195616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>
        <f>SUM(Q86:CHOOSE(MONTH(Mes_cierre),Q86,R86,S86,T86,U86,V86,W86,X86,Y86,Z86,AA86,AB86))</f>
        <v>-279.242195616</v>
      </c>
    </row>
    <row r="87" spans="1:29">
      <c r="B87" s="20">
        <v>-1407.666507048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>
        <f>SUM(B87:CHOOSE(MONTH(Mes_cierre),B87,C87,D87,E87,F87,G87,H87,I87,J87,K87,L87,M87))</f>
        <v>-1407.666507048</v>
      </c>
      <c r="O87" s="25"/>
      <c r="P87" s="25"/>
      <c r="Q87" s="20">
        <v>1023.794949096</v>
      </c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>
        <f>SUM(Q87:CHOOSE(MONTH(Mes_cierre),Q87,R87,S87,T87,U87,V87,W87,X87,Y87,Z87,AA87,AB87))</f>
        <v>1023.794949096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Costos_Gastos">
    <outlinePr summaryBelow="1" summaryRight="1"/>
  </sheetPr>
  <dimension ref="A1:AP43"/>
  <sheetViews>
    <sheetView tabSelected="0" workbookViewId="0" showGridLines="false" showRowColHeaders="1">
      <selection activeCell="D12" sqref="D12"/>
    </sheetView>
  </sheetViews>
  <sheetFormatPr defaultRowHeight="14.4" defaultColWidth="11.453125" outlineLevelRow="0" outlineLevelCol="0"/>
  <cols>
    <col min="1" max="1" width="12.1796875" customWidth="true" style="48"/>
    <col min="2" max="2" width="10.54296875" customWidth="true" style="146"/>
    <col min="3" max="3" width="11" hidden="true" customWidth="true" style="146"/>
    <col min="4" max="4" width="11.453125" style="146"/>
    <col min="5" max="5" width="11.1796875" customWidth="true" style="146"/>
    <col min="6" max="6" width="11.1796875" customWidth="true" style="146"/>
    <col min="7" max="7" width="10.81640625" customWidth="true" style="146"/>
    <col min="8" max="8" width="12" customWidth="true" style="146"/>
    <col min="9" max="9" width="9.453125" hidden="true" customWidth="true" style="48"/>
    <col min="10" max="10" width="9.453125" hidden="true" customWidth="true" style="48"/>
    <col min="11" max="11" width="12" hidden="true" customWidth="true" style="48"/>
    <col min="12" max="12" width="7.81640625" hidden="true" customWidth="true" style="48"/>
    <col min="13" max="13" width="11.453125" style="48"/>
    <col min="14" max="14" width="11.453125" style="48"/>
    <col min="15" max="15" width="5.7265625" customWidth="true" style="48"/>
    <col min="16" max="16" width="13.7265625" customWidth="true" style="48"/>
    <col min="17" max="17" width="11.453125" style="48"/>
    <col min="18" max="18" width="11.453125" style="48"/>
    <col min="19" max="19" width="11.453125" style="48"/>
    <col min="20" max="20" width="11.453125" style="48"/>
    <col min="21" max="21" width="11.453125" style="48"/>
    <col min="22" max="22" width="11.453125" style="48"/>
    <col min="23" max="23" width="11.453125" style="48"/>
    <col min="24" max="24" width="11.453125" style="48"/>
    <col min="25" max="25" width="21.54296875" customWidth="true" style="48"/>
    <col min="26" max="26" width="7.54296875" customWidth="true" style="48"/>
    <col min="27" max="27" width="6.81640625" customWidth="true" style="48"/>
    <col min="28" max="28" width="11.81640625" customWidth="true" style="48"/>
    <col min="29" max="29" width="6.54296875" customWidth="true" style="48"/>
    <col min="30" max="30" width="10.453125" customWidth="true" style="48"/>
    <col min="31" max="31" width="10.453125" customWidth="true" style="48"/>
    <col min="32" max="32" width="8.453125" customWidth="true" style="48"/>
    <col min="33" max="33" width="10.453125" customWidth="true" style="48"/>
    <col min="34" max="34" width="9.1796875" customWidth="true" style="48"/>
    <col min="35" max="35" width="6.54296875" customWidth="true" style="48"/>
    <col min="36" max="36" width="10.453125" customWidth="true" style="48"/>
    <col min="37" max="37" width="6.54296875" customWidth="true" style="48"/>
    <col min="38" max="38" width="6.54296875" customWidth="true" style="48"/>
    <col min="39" max="39" width="5.54296875" customWidth="true" style="48"/>
    <col min="40" max="40" width="5.54296875" customWidth="true" style="48"/>
    <col min="41" max="41" width="6.54296875" customWidth="true" style="48"/>
    <col min="42" max="42" width="11.453125" style="48"/>
  </cols>
  <sheetData>
    <row r="1" spans="1:42" customHeight="1" ht="13">
      <c r="A1" s="49"/>
    </row>
    <row r="2" spans="1:42" customHeight="1" ht="13">
      <c r="A2" s="49"/>
    </row>
    <row r="3" spans="1:42" customHeight="1" ht="15.75">
      <c r="A3" s="49" t="s">
        <v>194</v>
      </c>
      <c r="C3" s="147"/>
      <c r="D3" s="147"/>
      <c r="E3" s="147"/>
      <c r="F3" s="147"/>
      <c r="G3" s="147"/>
      <c r="H3" s="147"/>
      <c r="I3" s="53"/>
      <c r="J3" s="53"/>
      <c r="K3" s="53"/>
      <c r="L3" s="53"/>
      <c r="M3" s="53"/>
      <c r="N3" s="53"/>
      <c r="Z3" s="2" t="s">
        <v>14</v>
      </c>
      <c r="AA3" s="27"/>
      <c r="AB3" s="2" t="s">
        <v>15</v>
      </c>
      <c r="AC3" s="27"/>
      <c r="AD3" s="2" t="s">
        <v>16</v>
      </c>
      <c r="AE3" s="27"/>
      <c r="AF3" s="2" t="s">
        <v>17</v>
      </c>
      <c r="AG3" s="27"/>
      <c r="AH3" s="28" t="s">
        <v>18</v>
      </c>
      <c r="AI3" s="27"/>
      <c r="AJ3" s="2" t="s">
        <v>19</v>
      </c>
      <c r="AK3" s="27"/>
    </row>
    <row r="4" spans="1:42" customHeight="1" ht="14">
      <c r="A4" s="148"/>
      <c r="B4" s="148" t="s">
        <v>195</v>
      </c>
      <c r="C4" s="148" t="s">
        <v>14</v>
      </c>
      <c r="D4" s="148" t="s">
        <v>196</v>
      </c>
      <c r="E4" s="148" t="s">
        <v>16</v>
      </c>
      <c r="F4" s="148" t="s">
        <v>17</v>
      </c>
      <c r="G4" s="148" t="s">
        <v>18</v>
      </c>
      <c r="H4" s="148" t="s">
        <v>60</v>
      </c>
      <c r="I4" s="148"/>
      <c r="J4" s="148"/>
      <c r="K4" s="148"/>
      <c r="L4" s="148"/>
      <c r="M4" s="148" t="s">
        <v>197</v>
      </c>
      <c r="N4" s="56"/>
      <c r="Y4" s="4" t="s">
        <v>32</v>
      </c>
      <c r="Z4" s="48">
        <f>TablasER!C11</f>
        <v/>
      </c>
      <c r="AA4" s="176" t="str">
        <f>TablasER!D11</f>
        <v>0</v>
      </c>
      <c r="AB4" s="48">
        <f>TablasER!E11</f>
        <v>19571.52985</v>
      </c>
      <c r="AC4" s="48">
        <f>TablasER!F11</f>
        <v>0.36724565116836</v>
      </c>
      <c r="AD4" s="48">
        <f>TablasER!G11</f>
        <v>20506.740386184</v>
      </c>
      <c r="AE4" s="48">
        <f>TablasER!H11</f>
        <v>0.6433113008664</v>
      </c>
      <c r="AF4" s="48">
        <f>TablasER!I11</f>
        <v>1047.044367936</v>
      </c>
      <c r="AG4" s="48">
        <f>TablasER!J11</f>
        <v>0.50214786431829</v>
      </c>
      <c r="AH4" s="48">
        <f>TablasER!K11</f>
        <v>31121.633485</v>
      </c>
      <c r="AI4" s="48">
        <f>TablasER!L11</f>
        <v>0.18039928276925</v>
      </c>
      <c r="AJ4" s="48">
        <f>TablasER!M11</f>
        <v>661.77751</v>
      </c>
      <c r="AK4" s="48">
        <f>TablasER!N11</f>
        <v>0.089345966326448</v>
      </c>
    </row>
    <row r="5" spans="1:42" customHeight="1" ht="14">
      <c r="A5" s="48" t="str">
        <f>"Costo "&amp;RIGHT(YEAR(Mes_cierre),2)</f>
        <v>Costo 21</v>
      </c>
      <c r="B5" s="149">
        <f>TablasER!AZ5</f>
        <v>0.64659986757064</v>
      </c>
      <c r="C5" s="149"/>
      <c r="D5" s="149">
        <f>TablasER!$F$5</f>
        <v>0.51341322459771</v>
      </c>
      <c r="E5" s="149">
        <f>TablasER!$H$5</f>
        <v>0.30015794475652</v>
      </c>
      <c r="F5" s="149">
        <f>TablasER!$J$5</f>
        <v>0</v>
      </c>
      <c r="G5" s="149">
        <f>TablasER!$L$5</f>
        <v>0.76486638299835</v>
      </c>
      <c r="H5" s="149">
        <f>TablasER!$N$5</f>
        <v>0.52331296797114</v>
      </c>
      <c r="I5" s="151"/>
      <c r="J5" s="151"/>
      <c r="K5" s="151"/>
      <c r="L5" s="152"/>
      <c r="M5" s="150">
        <f>(G5+D5+C5+H5+E5+F5)/6</f>
        <v>0.35029175338729</v>
      </c>
      <c r="N5" s="153"/>
      <c r="Y5" s="7" t="s">
        <v>35</v>
      </c>
      <c r="Z5" s="48">
        <f>TablasER!C14</f>
        <v/>
      </c>
      <c r="AA5" s="48" t="str">
        <f>TablasER!D14</f>
        <v>0</v>
      </c>
      <c r="AB5" s="48">
        <f>TablasER!E14</f>
        <v>0</v>
      </c>
      <c r="AC5" s="48">
        <f>TablasER!F14</f>
        <v>0</v>
      </c>
      <c r="AD5" s="48">
        <f>TablasER!G14</f>
        <v>0</v>
      </c>
      <c r="AE5" s="48">
        <f>TablasER!H14</f>
        <v>0</v>
      </c>
      <c r="AF5" s="48">
        <f>TablasER!I14</f>
        <v>0</v>
      </c>
      <c r="AG5" s="48">
        <f>TablasER!J14</f>
        <v>0</v>
      </c>
      <c r="AH5" s="48">
        <f>TablasER!K14</f>
        <v>0</v>
      </c>
      <c r="AI5" s="48">
        <f>TablasER!L14</f>
        <v>0</v>
      </c>
      <c r="AJ5" s="48">
        <f>TablasER!M14</f>
        <v>0</v>
      </c>
      <c r="AK5" s="48">
        <f>TablasER!N14</f>
        <v>0</v>
      </c>
    </row>
    <row r="6" spans="1:42" customHeight="1" ht="14">
      <c r="A6" s="48" t="str">
        <f>"Costo P. "&amp;RIGHT(YEAR(Mes_cierre),2)</f>
        <v>Costo P. 21</v>
      </c>
      <c r="B6" s="154">
        <f>TablasER!BB5</f>
        <v>0.60283691486145</v>
      </c>
      <c r="C6" s="154"/>
      <c r="D6" s="154" t="str">
        <f>TablasER!$V$5</f>
        <v>N.D.</v>
      </c>
      <c r="E6" s="154">
        <f>TablasER!$X$5</f>
        <v>0.31274610673866</v>
      </c>
      <c r="F6" s="154">
        <f>TablasER!$Z$5</f>
        <v>0</v>
      </c>
      <c r="G6" s="154">
        <f>TablasER!$AB$5</f>
        <v>0.014993767260826</v>
      </c>
      <c r="H6" s="154">
        <f>TablasER!$AD$5</f>
        <v>0.66868260575896</v>
      </c>
      <c r="I6" s="154">
        <f>TablasER!Z$5</f>
        <v>0</v>
      </c>
      <c r="J6" s="154">
        <f>TablasER!AA$5</f>
        <v>93207.816</v>
      </c>
      <c r="K6" s="154">
        <f>TablasER!AB$5</f>
        <v>0.014993767260826</v>
      </c>
      <c r="L6" s="154">
        <f>TablasER!AC$5</f>
        <v>7537.833</v>
      </c>
      <c r="M6" s="154" t="str">
        <f>(G6+D6+C6+H6+E6+F6)/6</f>
        <v>0</v>
      </c>
      <c r="N6" s="153"/>
      <c r="Y6" s="7" t="s">
        <v>37</v>
      </c>
      <c r="Z6" s="48">
        <f>TablasER!C15</f>
        <v/>
      </c>
      <c r="AA6" s="48" t="str">
        <f>TablasER!D15</f>
        <v>0</v>
      </c>
      <c r="AB6" s="48">
        <f>TablasER!E15</f>
        <v>0</v>
      </c>
      <c r="AC6" s="48">
        <f>TablasER!F15</f>
        <v>0</v>
      </c>
      <c r="AD6" s="48">
        <f>TablasER!G15</f>
        <v>0</v>
      </c>
      <c r="AE6" s="48">
        <f>TablasER!H15</f>
        <v>0</v>
      </c>
      <c r="AF6" s="48">
        <f>TablasER!I15</f>
        <v>0</v>
      </c>
      <c r="AG6" s="48">
        <f>TablasER!J15</f>
        <v>0</v>
      </c>
      <c r="AH6" s="48">
        <f>TablasER!K15</f>
        <v>0</v>
      </c>
      <c r="AI6" s="48">
        <f>TablasER!L15</f>
        <v>0</v>
      </c>
      <c r="AJ6" s="48">
        <f>TablasER!M15</f>
        <v>0</v>
      </c>
      <c r="AK6" s="48">
        <f>TablasER!N15</f>
        <v>0</v>
      </c>
    </row>
    <row r="7" spans="1:42">
      <c r="A7" s="48" t="str">
        <f>"Costo "&amp;RIGHT(YEAR(Mes_cierre)-1,2)</f>
        <v>Costo 20</v>
      </c>
      <c r="B7" s="156">
        <f>TablasER!BD5</f>
        <v>0.64169347445321</v>
      </c>
      <c r="C7" s="154"/>
      <c r="D7" s="154">
        <f>TablasER!$AL$5</f>
        <v>0.55087035343768</v>
      </c>
      <c r="E7" s="154">
        <f>TablasER!$AN$5</f>
        <v>0.32793865462917</v>
      </c>
      <c r="F7" s="154">
        <f>TablasER!$AP$5</f>
        <v>0</v>
      </c>
      <c r="G7" s="154">
        <f>TablasER!$AR$5</f>
        <v>0.73645796394775</v>
      </c>
      <c r="H7" s="154">
        <f>TablasER!$AT$5</f>
        <v>0.81298306064501</v>
      </c>
      <c r="I7" s="155"/>
      <c r="J7" s="155"/>
      <c r="K7" s="155"/>
      <c r="L7" s="155"/>
      <c r="M7" s="156">
        <f>(G7+D7+C7+H7+E7+F7)/6</f>
        <v>0.4047083387766</v>
      </c>
      <c r="N7" s="153"/>
      <c r="Z7" s="48">
        <f>SUM(Z4:Z6)</f>
        <v>0</v>
      </c>
      <c r="AA7" s="176">
        <f>SUM(AA4:AA6)</f>
        <v>0</v>
      </c>
      <c r="AB7" s="177">
        <f>SUM(AB4:AB6)</f>
        <v>19571.52985</v>
      </c>
      <c r="AC7" s="176">
        <f>SUM(AC4:AC6)</f>
        <v>0.36724565116836</v>
      </c>
      <c r="AD7" s="177">
        <f>SUM(AD4:AD6)</f>
        <v>20506.740386184</v>
      </c>
      <c r="AE7" s="176">
        <f>SUM(AE4:AE6)</f>
        <v>0.6433113008664</v>
      </c>
      <c r="AF7" s="177">
        <f>SUM(AF4:AF6)</f>
        <v>1047.044367936</v>
      </c>
      <c r="AG7" s="176">
        <f>SUM(AG4:AG6)</f>
        <v>0.50214786431829</v>
      </c>
      <c r="AH7" s="177">
        <f>SUM(AH4:AH6)</f>
        <v>31121.633485</v>
      </c>
      <c r="AI7" s="176">
        <f>SUM(AI4:AI6)</f>
        <v>0.18039928276925</v>
      </c>
      <c r="AJ7" s="177">
        <f>SUM(AJ4:AJ6)</f>
        <v>661.77751</v>
      </c>
      <c r="AK7" s="176">
        <f>SUM(AK4:AK6)</f>
        <v>0.089345966326448</v>
      </c>
    </row>
    <row r="8" spans="1:42">
      <c r="B8" s="157">
        <f>SUM(C8:H8)</f>
        <v>172.75656558884</v>
      </c>
      <c r="C8" s="279"/>
      <c r="D8" s="279">
        <f>TablasER!$E$5/1000</f>
        <v>27.36120147</v>
      </c>
      <c r="E8" s="279">
        <f>TablasER!$G$5/1000</f>
        <v>9.56809096884</v>
      </c>
      <c r="F8" s="279">
        <f>TablasER!$I$5/1000</f>
        <v>0</v>
      </c>
      <c r="G8" s="279">
        <f>TablasER!$K$5/1000</f>
        <v>131.95114122</v>
      </c>
      <c r="H8" s="279">
        <f>TablasER!$M$5/1000</f>
        <v>3.87613193</v>
      </c>
      <c r="I8" s="158"/>
      <c r="J8" s="159"/>
      <c r="K8" s="160"/>
      <c r="L8" s="158"/>
      <c r="M8" s="157">
        <f>(G8+D8+C8+H8+E8)</f>
        <v>172.75656558884</v>
      </c>
      <c r="N8" s="59"/>
    </row>
    <row r="9" spans="1:42">
      <c r="B9" s="157">
        <f>SUM(C9:H9)</f>
        <v>109.604515896</v>
      </c>
      <c r="C9" s="280"/>
      <c r="D9" s="280">
        <f>TablasER!$U$5/1000</f>
        <v>0</v>
      </c>
      <c r="E9" s="157">
        <f>TablasER!$W$5/1000</f>
        <v>8.858866896</v>
      </c>
      <c r="F9" s="157">
        <f>TablasER!$Y$5/1000</f>
        <v>0</v>
      </c>
      <c r="G9" s="157">
        <f>TablasER!$AA$5/1000</f>
        <v>93.207816</v>
      </c>
      <c r="H9" s="157">
        <f>TablasER!$AC$5/1000</f>
        <v>7.537833</v>
      </c>
      <c r="I9" s="158">
        <f>TablasER!$AC$5</f>
        <v>7537.833</v>
      </c>
      <c r="J9" s="158"/>
      <c r="K9" s="158"/>
      <c r="L9" s="158"/>
      <c r="M9" s="157">
        <f>(G9+D9+C9+H9+E9)</f>
        <v>109.604515896</v>
      </c>
      <c r="N9" s="59"/>
    </row>
    <row r="10" spans="1:42">
      <c r="B10" s="161">
        <f>SUM(C10:H10)</f>
        <v>162.18072205854</v>
      </c>
      <c r="C10" s="280"/>
      <c r="D10" s="281">
        <f>TablasER!$AK$5/1000</f>
        <v>32.52970009</v>
      </c>
      <c r="E10" s="161">
        <f>TablasER!$AM$5/1000</f>
        <v>8.934023668536</v>
      </c>
      <c r="F10" s="161">
        <f>TablasER!$AO$5/1000</f>
        <v>0</v>
      </c>
      <c r="G10" s="161">
        <f>TablasER!$AQ$5/1000</f>
        <v>119.65200849</v>
      </c>
      <c r="H10" s="161">
        <f>TablasER!$AS$5/1000</f>
        <v>1.06498981</v>
      </c>
      <c r="I10" s="162">
        <f>TablasER!$AS$5</f>
        <v>1064.98981</v>
      </c>
      <c r="J10" s="162"/>
      <c r="K10" s="163"/>
      <c r="L10" s="162"/>
      <c r="M10" s="161">
        <f>(G10+D10+C10+H10+E10)</f>
        <v>162.18072205854</v>
      </c>
      <c r="N10" s="59"/>
    </row>
    <row r="11" spans="1:42">
      <c r="B11" s="48"/>
      <c r="C11" s="48"/>
      <c r="D11" s="48"/>
      <c r="E11" s="48"/>
      <c r="F11" s="48"/>
      <c r="G11" s="48"/>
      <c r="H11" s="48"/>
      <c r="I11" s="164"/>
      <c r="J11" s="164"/>
      <c r="K11" s="164"/>
      <c r="L11" s="164"/>
      <c r="M11" s="66"/>
      <c r="N11" s="66"/>
    </row>
    <row r="12" spans="1:42">
      <c r="B12" s="48"/>
      <c r="C12" s="48"/>
      <c r="D12" s="48"/>
      <c r="E12" s="48"/>
      <c r="F12" s="48"/>
      <c r="G12" s="48"/>
      <c r="H12" s="48"/>
      <c r="I12" s="165"/>
      <c r="J12" s="165"/>
      <c r="K12" s="165"/>
      <c r="L12" s="165"/>
      <c r="M12" s="66"/>
      <c r="N12" s="66"/>
    </row>
    <row r="13" spans="1:42">
      <c r="B13" s="166"/>
    </row>
    <row r="14" spans="1:42">
      <c r="A14" s="73"/>
      <c r="M14" s="74"/>
      <c r="N14" s="74"/>
    </row>
    <row r="15" spans="1:42">
      <c r="A15" s="73"/>
      <c r="B15" s="167"/>
      <c r="C15" s="167"/>
      <c r="D15" s="167"/>
      <c r="E15" s="167"/>
      <c r="F15" s="167"/>
      <c r="G15" s="168"/>
      <c r="H15" s="168"/>
      <c r="I15" s="74"/>
      <c r="J15" s="74"/>
      <c r="K15" s="74"/>
      <c r="L15" s="74"/>
      <c r="M15" s="74"/>
      <c r="N15" s="74"/>
    </row>
    <row r="17" spans="1:42">
      <c r="A17" s="73"/>
      <c r="B17" s="167"/>
      <c r="C17" s="167"/>
      <c r="D17" s="167"/>
      <c r="E17" s="167"/>
      <c r="F17" s="167"/>
      <c r="G17" s="167"/>
      <c r="H17" s="167"/>
      <c r="I17" s="74"/>
      <c r="J17" s="74"/>
      <c r="K17" s="74"/>
      <c r="L17" s="74"/>
      <c r="M17" s="74"/>
      <c r="N17" s="74"/>
    </row>
    <row r="18" spans="1:42" customHeight="1" ht="15">
      <c r="A18" s="73"/>
      <c r="B18" s="167"/>
      <c r="C18" s="167"/>
      <c r="D18" s="167"/>
      <c r="E18" s="167"/>
      <c r="F18" s="167"/>
      <c r="G18" s="167"/>
      <c r="H18" s="167"/>
      <c r="I18" s="74"/>
      <c r="J18" s="74"/>
      <c r="K18" s="74"/>
      <c r="L18" s="74"/>
      <c r="M18" s="74"/>
      <c r="N18" s="74"/>
    </row>
    <row r="19" spans="1:42" customHeight="1" ht="13">
      <c r="A19" s="49" t="s">
        <v>198</v>
      </c>
    </row>
    <row r="20" spans="1:42" customHeight="1" ht="13">
      <c r="B20" s="147"/>
      <c r="C20" s="147"/>
      <c r="D20" s="147"/>
      <c r="E20" s="147"/>
      <c r="F20" s="147"/>
      <c r="G20" s="147"/>
      <c r="H20" s="147"/>
      <c r="I20" s="53"/>
      <c r="J20" s="53"/>
      <c r="K20" s="53"/>
      <c r="L20" s="53"/>
      <c r="M20" s="53"/>
      <c r="N20" s="53"/>
    </row>
    <row r="21" spans="1:42" customHeight="1" ht="13">
      <c r="A21" s="148"/>
      <c r="B21" s="148" t="s">
        <v>195</v>
      </c>
      <c r="C21" s="148" t="s">
        <v>14</v>
      </c>
      <c r="D21" s="148" t="s">
        <v>196</v>
      </c>
      <c r="E21" s="148" t="s">
        <v>16</v>
      </c>
      <c r="F21" s="148" t="s">
        <v>17</v>
      </c>
      <c r="G21" s="148" t="s">
        <v>18</v>
      </c>
      <c r="H21" s="148" t="s">
        <v>60</v>
      </c>
      <c r="I21" s="148"/>
      <c r="J21" s="148"/>
      <c r="K21" s="148"/>
      <c r="L21" s="148"/>
      <c r="M21" s="148" t="s">
        <v>197</v>
      </c>
      <c r="N21" s="56"/>
    </row>
    <row r="22" spans="1:42">
      <c r="A22" s="48" t="str">
        <f>"Gasto "&amp;RIGHT(YEAR(Mes_cierre),2)</f>
        <v>Gasto 21</v>
      </c>
      <c r="B22" s="149">
        <f>TablasER!$AZ$11</f>
        <v>0.27288556099995</v>
      </c>
      <c r="C22" s="184"/>
      <c r="D22" s="184">
        <f>$AC$7</f>
        <v>0.36724565116836</v>
      </c>
      <c r="E22" s="184">
        <f>$AE$7</f>
        <v>0.6433113008664</v>
      </c>
      <c r="F22" s="184">
        <f>$AG$7</f>
        <v>0.50214786431829</v>
      </c>
      <c r="G22" s="184">
        <f>$AI$7</f>
        <v>0.18039928276925</v>
      </c>
      <c r="H22" s="184">
        <f>$AK$7</f>
        <v>0.089345966326448</v>
      </c>
      <c r="I22" s="151"/>
      <c r="J22" s="151"/>
      <c r="K22" s="151"/>
      <c r="L22" s="152"/>
      <c r="M22" s="150">
        <f>(G22+D22+C22+H22+E22+F22)/6</f>
        <v>0.29707501090813</v>
      </c>
      <c r="N22" s="153"/>
    </row>
    <row r="23" spans="1:42" customHeight="1" ht="14">
      <c r="A23" s="48" t="str">
        <f>"Gasto P. "&amp;RIGHT(YEAR(Mes_cierre),2)</f>
        <v>Gasto P. 21</v>
      </c>
      <c r="B23" s="154">
        <f>TablasER!$BB$11</f>
        <v>0.28175685557051</v>
      </c>
      <c r="C23" s="199"/>
      <c r="D23" s="199" t="str">
        <f>TablasER!$V$11</f>
        <v>N.D.</v>
      </c>
      <c r="E23" s="199">
        <f>TablasER!$X$11</f>
        <v>0.7200857370725</v>
      </c>
      <c r="F23" s="199">
        <f>TablasER!$Z$11</f>
        <v>0.45148495788207</v>
      </c>
      <c r="G23" s="199">
        <f>TablasER!$AB$11</f>
        <v>0.20695685171662</v>
      </c>
      <c r="H23" s="199">
        <f>TablasER!$AD$11</f>
        <v>0.078423623452916</v>
      </c>
      <c r="I23" s="155"/>
      <c r="J23" s="155"/>
      <c r="K23" s="155"/>
      <c r="L23" s="155"/>
      <c r="M23" s="154" t="str">
        <f>(G23+D23+C23+H23+E23+F23)/6</f>
        <v>0</v>
      </c>
      <c r="N23" s="153"/>
    </row>
    <row r="24" spans="1:42" customHeight="1" ht="14">
      <c r="A24" s="48" t="str">
        <f>"Gasto "&amp;RIGHT(YEAR(Mes_cierre)-1,2)</f>
        <v>Gasto 20</v>
      </c>
      <c r="B24" s="156">
        <f>TablasER!$BD$11</f>
        <v>0.31567091071903</v>
      </c>
      <c r="C24" s="199"/>
      <c r="D24" s="199">
        <f>TablasER!$AL$11</f>
        <v>0.40562496834467</v>
      </c>
      <c r="E24" s="199">
        <f>TablasER!$AN$11</f>
        <v>0.73525971897544</v>
      </c>
      <c r="F24" s="199">
        <f>TablasER!$AP$11</f>
        <v>0.77519426621038</v>
      </c>
      <c r="G24" s="199">
        <f>TablasER!$AR$11</f>
        <v>0.20361328324533</v>
      </c>
      <c r="H24" s="199">
        <f>TablasER!$AT$11</f>
        <v>0.49790849136946</v>
      </c>
      <c r="I24" s="155"/>
      <c r="J24" s="155"/>
      <c r="K24" s="155"/>
      <c r="L24" s="155"/>
      <c r="M24" s="156">
        <f>(G24+D24+C24+H24+E24+F24)/6</f>
        <v>0.43626678802421</v>
      </c>
      <c r="N24" s="153"/>
    </row>
    <row r="25" spans="1:42">
      <c r="B25" s="157">
        <f>TablasER!$AY$11/1000</f>
        <v>72.90872559912</v>
      </c>
      <c r="C25" s="282"/>
      <c r="D25" s="282">
        <f>$AB$7/1000</f>
        <v>19.57152985</v>
      </c>
      <c r="E25" s="282">
        <f>$AD$7/1000</f>
        <v>20.506740386184</v>
      </c>
      <c r="F25" s="282">
        <f>$AF$7/1000</f>
        <v>1.047044367936</v>
      </c>
      <c r="G25" s="282">
        <f>$AH$7/1000</f>
        <v>31.121633485</v>
      </c>
      <c r="H25" s="282">
        <f>$AJ$7/1000</f>
        <v>0.66177751</v>
      </c>
      <c r="I25" s="155"/>
      <c r="J25" s="74"/>
      <c r="K25" s="169"/>
      <c r="L25" s="155"/>
      <c r="M25" s="170">
        <f>(G25+D25+C25+H25+E25)</f>
        <v>71.861681231184</v>
      </c>
      <c r="N25" s="59"/>
    </row>
    <row r="26" spans="1:42" customHeight="1" ht="14">
      <c r="B26" s="157">
        <f>TablasER!$BA$11/1000</f>
        <v>51.2274928656</v>
      </c>
      <c r="C26" s="283"/>
      <c r="D26" s="283">
        <f>TablasER!$U$11/1000</f>
        <v>0</v>
      </c>
      <c r="E26" s="283">
        <f>TablasER!$W$11/1000</f>
        <v>20.3971961952</v>
      </c>
      <c r="F26" s="283">
        <f>TablasER!$Y$11/1000</f>
        <v>0.9485026704</v>
      </c>
      <c r="G26" s="283">
        <f>TablasER!$AA$11/1000</f>
        <v>28.997751</v>
      </c>
      <c r="H26" s="283">
        <f>TablasER!$AC$11/1000</f>
        <v>0.884043</v>
      </c>
      <c r="I26" s="155"/>
      <c r="J26" s="155"/>
      <c r="K26" s="155"/>
      <c r="L26" s="155"/>
      <c r="M26" s="170">
        <f>(G26+D26+C26+H26+E26)</f>
        <v>50.2789901952</v>
      </c>
      <c r="N26" s="59"/>
    </row>
    <row r="27" spans="1:42" customHeight="1" ht="14">
      <c r="B27" s="161">
        <f>TablasER!$BC$11/1000</f>
        <v>79.78222978956</v>
      </c>
      <c r="C27" s="283"/>
      <c r="D27" s="283">
        <f>TablasER!$AK$11/1000</f>
        <v>23.95274766</v>
      </c>
      <c r="E27" s="283">
        <f>TablasER!$AM$11/1000</f>
        <v>20.03066012232</v>
      </c>
      <c r="F27" s="283">
        <f>TablasER!$AO$11/1000</f>
        <v>2.06561039724</v>
      </c>
      <c r="G27" s="283">
        <f>TablasER!$AQ$11/1000</f>
        <v>33.08096251</v>
      </c>
      <c r="H27" s="283">
        <f>TablasER!$AS$11/1000</f>
        <v>0.6522491</v>
      </c>
      <c r="I27" s="171"/>
      <c r="J27" s="171"/>
      <c r="K27" s="172"/>
      <c r="L27" s="171"/>
      <c r="M27" s="173">
        <f>(G27+D27+C27+H27+E27)</f>
        <v>77.71661939232</v>
      </c>
      <c r="N27" s="59"/>
    </row>
    <row r="28" spans="1:42">
      <c r="B28" s="167"/>
      <c r="C28" s="167"/>
      <c r="D28" s="167"/>
      <c r="E28" s="167"/>
      <c r="F28" s="167"/>
      <c r="G28" s="167"/>
      <c r="H28" s="167"/>
      <c r="I28" s="74"/>
      <c r="J28" s="74"/>
      <c r="K28" s="74"/>
      <c r="L28" s="74"/>
      <c r="M28" s="167"/>
      <c r="N28" s="59"/>
    </row>
    <row r="29" spans="1:42">
      <c r="B29" s="167"/>
      <c r="C29" s="167"/>
      <c r="D29" s="167"/>
      <c r="E29" s="167"/>
      <c r="F29" s="167"/>
      <c r="G29" s="167"/>
      <c r="H29" s="167"/>
      <c r="I29" s="74"/>
      <c r="J29" s="74"/>
      <c r="K29" s="74"/>
      <c r="L29" s="74"/>
      <c r="M29" s="167"/>
      <c r="N29" s="59"/>
    </row>
    <row r="30" spans="1:42">
      <c r="B30" s="167"/>
      <c r="C30" s="167"/>
      <c r="D30" s="167"/>
      <c r="E30" s="167"/>
      <c r="F30" s="167"/>
      <c r="G30" s="167"/>
      <c r="H30" s="167"/>
      <c r="I30" s="74"/>
      <c r="J30" s="74"/>
      <c r="K30" s="74"/>
      <c r="L30" s="74"/>
      <c r="M30" s="167"/>
      <c r="N30" s="59"/>
    </row>
    <row r="31" spans="1:42">
      <c r="B31" s="167"/>
      <c r="C31" s="167"/>
      <c r="D31" s="167"/>
      <c r="E31" s="167"/>
      <c r="F31" s="167"/>
      <c r="G31" s="167"/>
      <c r="H31" s="167"/>
      <c r="I31" s="74"/>
      <c r="J31" s="74"/>
      <c r="K31" s="74"/>
      <c r="L31" s="74"/>
      <c r="M31" s="167"/>
      <c r="N31" s="59"/>
    </row>
    <row r="32" spans="1:42">
      <c r="B32" s="167"/>
      <c r="C32" s="167"/>
      <c r="D32" s="167"/>
      <c r="E32" s="167"/>
      <c r="F32" s="167"/>
      <c r="G32" s="167"/>
      <c r="H32" s="167"/>
      <c r="I32" s="74"/>
      <c r="J32" s="74"/>
      <c r="K32" s="74"/>
      <c r="L32" s="74"/>
      <c r="M32" s="167"/>
      <c r="N32" s="59"/>
    </row>
    <row r="33" spans="1:42">
      <c r="B33" s="167"/>
      <c r="C33" s="167"/>
      <c r="D33" s="167"/>
      <c r="E33" s="167"/>
      <c r="F33" s="167"/>
      <c r="G33" s="167"/>
      <c r="H33" s="167"/>
      <c r="I33" s="74"/>
      <c r="J33" s="74"/>
      <c r="K33" s="74"/>
      <c r="L33" s="74"/>
      <c r="M33" s="167"/>
      <c r="N33" s="59"/>
    </row>
    <row r="34" spans="1:42">
      <c r="B34" s="167"/>
      <c r="C34" s="167"/>
      <c r="D34" s="167"/>
      <c r="E34" s="167"/>
      <c r="F34" s="167"/>
      <c r="G34" s="167"/>
      <c r="H34" s="167"/>
      <c r="I34" s="74"/>
      <c r="J34" s="74"/>
      <c r="K34" s="74"/>
      <c r="L34" s="74"/>
      <c r="M34" s="167"/>
      <c r="N34" s="59"/>
    </row>
    <row r="35" spans="1:42">
      <c r="B35" s="167"/>
      <c r="C35" s="167"/>
      <c r="D35" s="167"/>
      <c r="E35" s="167"/>
      <c r="F35" s="167"/>
      <c r="G35" s="167"/>
      <c r="H35" s="167"/>
      <c r="I35" s="74"/>
      <c r="J35" s="74"/>
      <c r="K35" s="74"/>
      <c r="L35" s="74"/>
      <c r="M35" s="167"/>
      <c r="N35" s="59"/>
    </row>
    <row r="36" spans="1:42">
      <c r="B36" s="48"/>
      <c r="C36" s="48"/>
      <c r="D36" s="48"/>
      <c r="E36" s="48"/>
      <c r="F36" s="48"/>
      <c r="G36" s="48"/>
      <c r="H36" s="48"/>
      <c r="M36" s="66"/>
      <c r="N36" s="66"/>
    </row>
    <row r="37" spans="1:42">
      <c r="B37" s="48"/>
      <c r="C37" s="48"/>
      <c r="D37" s="48"/>
      <c r="E37" s="48"/>
      <c r="F37" s="48"/>
      <c r="G37" s="48"/>
      <c r="H37" s="48"/>
      <c r="M37" s="66"/>
      <c r="N37" s="66"/>
    </row>
    <row r="39" spans="1:42">
      <c r="A39" s="73"/>
      <c r="B39" s="167"/>
      <c r="C39" s="167"/>
      <c r="D39" s="167"/>
      <c r="E39" s="167"/>
      <c r="F39" s="167"/>
      <c r="G39" s="167"/>
      <c r="H39" s="167"/>
      <c r="I39" s="74"/>
      <c r="J39" s="74"/>
      <c r="K39" s="74"/>
      <c r="L39" s="74"/>
      <c r="M39" s="74"/>
      <c r="N39" s="74"/>
    </row>
    <row r="40" spans="1:42">
      <c r="A40" s="73"/>
      <c r="B40" s="167"/>
      <c r="C40" s="167"/>
      <c r="D40" s="167"/>
      <c r="E40" s="167"/>
      <c r="F40" s="167"/>
      <c r="G40" s="167"/>
      <c r="H40" s="167"/>
      <c r="I40" s="74"/>
      <c r="J40" s="74"/>
      <c r="K40" s="74"/>
      <c r="L40" s="74"/>
      <c r="M40" s="74"/>
      <c r="N40" s="74"/>
    </row>
    <row r="41" spans="1:42">
      <c r="A41" s="73"/>
      <c r="B41" s="167"/>
      <c r="C41" s="167"/>
      <c r="D41" s="167"/>
      <c r="E41" s="167"/>
      <c r="F41" s="167"/>
      <c r="G41" s="167"/>
      <c r="H41" s="167"/>
      <c r="I41" s="74"/>
      <c r="J41" s="74"/>
      <c r="K41" s="74"/>
      <c r="L41" s="74"/>
      <c r="M41" s="74"/>
      <c r="N41" s="74"/>
    </row>
    <row r="42" spans="1:42" customHeight="1" ht="13">
      <c r="A42" s="174"/>
      <c r="B42" s="175"/>
      <c r="C42" s="167"/>
      <c r="D42" s="167"/>
      <c r="E42" s="167"/>
      <c r="F42" s="167"/>
      <c r="G42" s="167"/>
      <c r="H42" s="167"/>
      <c r="I42" s="74"/>
      <c r="J42" s="74"/>
      <c r="K42" s="74"/>
      <c r="L42" s="74"/>
      <c r="M42" s="74"/>
      <c r="N42" s="74"/>
    </row>
    <row r="43" spans="1:42" customHeight="1" ht="13">
      <c r="A43" s="49"/>
      <c r="B43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54" bottom="1" header="0" footer="0"/>
  <pageSetup paperSize="9" orientation="landscape" scale="85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Tendencias">
    <outlinePr summaryBelow="1" summaryRight="1"/>
  </sheetPr>
  <dimension ref="A1:AX563"/>
  <sheetViews>
    <sheetView tabSelected="0" workbookViewId="0" zoomScale="70" zoomScaleNormal="70" showGridLines="false" showRowColHeaders="1">
      <selection activeCell="M143" sqref="M143"/>
    </sheetView>
  </sheetViews>
  <sheetFormatPr defaultRowHeight="14.4" defaultColWidth="9.1796875" outlineLevelRow="0" outlineLevelCol="0"/>
  <cols>
    <col min="1" max="1" width="18.453125" customWidth="true" style="64"/>
    <col min="2" max="2" width="14.7265625" customWidth="true" style="46"/>
    <col min="3" max="3" width="14.7265625" customWidth="true" style="46"/>
    <col min="4" max="4" width="14.7265625" customWidth="true" style="46"/>
    <col min="5" max="5" width="14.7265625" customWidth="true" style="46"/>
    <col min="6" max="6" width="14.7265625" customWidth="true" style="46"/>
    <col min="7" max="7" width="14.7265625" customWidth="true" style="46"/>
    <col min="8" max="8" width="14.7265625" customWidth="true" style="46"/>
    <col min="9" max="9" width="14.7265625" customWidth="true" style="46"/>
    <col min="10" max="10" width="14.7265625" customWidth="true" style="46"/>
    <col min="11" max="11" width="14.7265625" customWidth="true" style="46"/>
    <col min="12" max="12" width="14.7265625" customWidth="true" style="46"/>
    <col min="13" max="13" width="14.7265625" customWidth="true" style="46"/>
    <col min="14" max="14" width="11.81640625" customWidth="true" style="48"/>
    <col min="15" max="15" width="13.1796875" customWidth="true" style="48"/>
    <col min="16" max="16" width="12.7265625" customWidth="true" style="49"/>
    <col min="17" max="17" width="12.7265625" customWidth="true" style="48"/>
    <col min="18" max="18" width="2.26953125" customWidth="true" style="48"/>
    <col min="19" max="19" width="9.1796875" style="48"/>
    <col min="20" max="20" width="9.1796875" style="48"/>
    <col min="21" max="21" width="9.1796875" style="48"/>
    <col min="22" max="22" width="9.1796875" style="48"/>
    <col min="23" max="23" width="9.1796875" style="48"/>
    <col min="24" max="24" width="9.1796875" style="48"/>
    <col min="25" max="25" width="9.1796875" style="48"/>
    <col min="26" max="26" width="9.1796875" style="48"/>
    <col min="27" max="27" width="9.1796875" style="48"/>
    <col min="28" max="28" width="9.1796875" style="48"/>
    <col min="29" max="29" width="9.1796875" style="48"/>
    <col min="30" max="30" width="9.1796875" style="48"/>
    <col min="31" max="31" width="9.1796875" style="48"/>
    <col min="32" max="32" width="9.1796875" style="48"/>
    <col min="33" max="33" width="9.1796875" style="48"/>
    <col min="34" max="34" width="9.1796875" style="48"/>
    <col min="35" max="35" width="9.1796875" style="48"/>
    <col min="36" max="36" width="9.1796875" style="48"/>
    <col min="37" max="37" width="18.453125" customWidth="true" style="64"/>
    <col min="38" max="38" width="17.81640625" customWidth="true" style="46"/>
    <col min="39" max="39" width="14.7265625" customWidth="true" style="46"/>
    <col min="40" max="40" width="14.7265625" customWidth="true" style="46"/>
    <col min="41" max="41" width="14.7265625" customWidth="true" style="46"/>
    <col min="42" max="42" width="14.7265625" customWidth="true" style="46"/>
    <col min="43" max="43" width="14.7265625" customWidth="true" style="46"/>
    <col min="44" max="44" width="14.7265625" customWidth="true" style="46"/>
    <col min="45" max="45" width="14.7265625" customWidth="true" style="46"/>
    <col min="46" max="46" width="14.7265625" customWidth="true" style="46"/>
    <col min="47" max="47" width="14.7265625" customWidth="true" style="46"/>
    <col min="48" max="48" width="14.7265625" customWidth="true" style="46"/>
    <col min="49" max="49" width="14.7265625" customWidth="true" style="46"/>
    <col min="50" max="50" width="9.1796875" style="48"/>
  </cols>
  <sheetData>
    <row r="1" spans="1:50" customHeight="1" ht="18">
      <c r="A1" s="46"/>
      <c r="B1" s="47"/>
      <c r="M1" s="48"/>
      <c r="O1" s="49"/>
      <c r="P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</row>
    <row r="2" spans="1:50" customHeight="1" ht="18">
      <c r="A2" s="50" t="s">
        <v>199</v>
      </c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49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</row>
    <row r="3" spans="1:50" customHeight="1" ht="18">
      <c r="A3" s="54">
        <v>0</v>
      </c>
      <c r="B3" s="55" t="s">
        <v>200</v>
      </c>
      <c r="C3" s="55" t="s">
        <v>201</v>
      </c>
      <c r="D3" s="55" t="s">
        <v>202</v>
      </c>
      <c r="E3" s="55" t="s">
        <v>203</v>
      </c>
      <c r="F3" s="55" t="s">
        <v>202</v>
      </c>
      <c r="G3" s="55" t="s">
        <v>204</v>
      </c>
      <c r="H3" s="55" t="s">
        <v>204</v>
      </c>
      <c r="I3" s="55" t="s">
        <v>203</v>
      </c>
      <c r="J3" s="55" t="s">
        <v>205</v>
      </c>
      <c r="K3" s="55" t="s">
        <v>206</v>
      </c>
      <c r="L3" s="55" t="s">
        <v>207</v>
      </c>
      <c r="M3" s="55" t="s">
        <v>208</v>
      </c>
      <c r="N3" s="49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</row>
    <row r="4" spans="1:50" customHeight="1" ht="18">
      <c r="A4" s="50" t="str">
        <f>"Vtas. "&amp;RIGHT(YEAR(Mes_cierre),2)</f>
        <v>Vtas. 21</v>
      </c>
      <c r="B4" s="58">
        <f>B51+B70+B34+B90+B149+B161</f>
        <v>267176.92695779</v>
      </c>
      <c r="C4" s="58">
        <f>C51+C70+C34+C90+C149+C161</f>
        <v>0</v>
      </c>
      <c r="D4" s="58">
        <f>D51+D70+D34+D90+D149+D161</f>
        <v>0</v>
      </c>
      <c r="E4" s="58">
        <f>E51+E70+E34+E90+E149+E161</f>
        <v>0</v>
      </c>
      <c r="F4" s="58">
        <f>F51+F70+F34+F90+F149+F161</f>
        <v>0</v>
      </c>
      <c r="G4" s="58">
        <f>G51+G70+G34+G90+G149+G161</f>
        <v>0</v>
      </c>
      <c r="H4" s="58">
        <f>H51+H70+H34+H90+H149+H161</f>
        <v>0</v>
      </c>
      <c r="I4" s="58">
        <f>I51+I70+I34+I90+I149+I161</f>
        <v>0</v>
      </c>
      <c r="J4" s="58">
        <f>J51+J70+J34+J90+J149+J161</f>
        <v>0</v>
      </c>
      <c r="K4" s="58">
        <f>K51+K70+K34+K90+K149+K161</f>
        <v>0</v>
      </c>
      <c r="L4" s="58">
        <f>L51+L70+L34+L90+L149+L161</f>
        <v>0</v>
      </c>
      <c r="M4" s="58">
        <f>M51+M70+M34+M90+M149+M161</f>
        <v>0</v>
      </c>
      <c r="N4" s="49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</row>
    <row r="5" spans="1:50" customHeight="1" ht="18">
      <c r="A5" s="50" t="str">
        <f>"Vtas. P. "&amp;RIGHT(YEAR(Mes_cierre),2)</f>
        <v>Vtas. P. 21</v>
      </c>
      <c r="B5" s="60">
        <f>B52+B71+B35+B91+B150+B162</f>
        <v>151387.622</v>
      </c>
      <c r="C5" s="60">
        <f>C52+C71+C35+C91+C150+C162</f>
        <v>0</v>
      </c>
      <c r="D5" s="60">
        <f>D52+D71+D35+D91+D150+D162</f>
        <v>0</v>
      </c>
      <c r="E5" s="60">
        <f>E52+E71+E35+E91+E150+E162</f>
        <v>0</v>
      </c>
      <c r="F5" s="60">
        <f>F52+F71+F35+F91+F150+F162</f>
        <v>0</v>
      </c>
      <c r="G5" s="60">
        <f>G52+G71+G35+G91+G150+G162</f>
        <v>0</v>
      </c>
      <c r="H5" s="60">
        <f>H52+H71+H35+H91+H150+H162</f>
        <v>0</v>
      </c>
      <c r="I5" s="60">
        <f>I52+I71+I35+I91+I150+I162</f>
        <v>0</v>
      </c>
      <c r="J5" s="60">
        <f>J52+J71+J35+J91+J150+J162</f>
        <v>0</v>
      </c>
      <c r="K5" s="60">
        <f>K52+K71+K35+K91+K150+K162</f>
        <v>0</v>
      </c>
      <c r="L5" s="60">
        <f>L52+L71+L35+L91+L150+L162</f>
        <v>0</v>
      </c>
      <c r="M5" s="60">
        <f>M52+M71+M35+M91+M150+M162</f>
        <v>0</v>
      </c>
      <c r="N5" s="49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</row>
    <row r="6" spans="1:50" customHeight="1" ht="18">
      <c r="A6" s="50" t="str">
        <f>"Vtas. "&amp;RIGHT(YEAR(Mes_cierre)-1,2)</f>
        <v>Vtas. 20</v>
      </c>
      <c r="B6" s="60">
        <f>B53+B72+B36+B92+B151+B163</f>
        <v>250791.68393003</v>
      </c>
      <c r="C6" s="60">
        <f>C53+C72+C36+C92+C151+C163</f>
        <v>0</v>
      </c>
      <c r="D6" s="60">
        <f>D53+D72+D36+D92+D151+D163</f>
        <v>0</v>
      </c>
      <c r="E6" s="60">
        <f>E53+E72+E36+E92+E151+E163</f>
        <v>0</v>
      </c>
      <c r="F6" s="60">
        <f>F53+F72+F36+F92+F151+F163</f>
        <v>0</v>
      </c>
      <c r="G6" s="60">
        <f>G53+G72+G36+G92+G151+G163</f>
        <v>0</v>
      </c>
      <c r="H6" s="60">
        <f>H53+H72+H36+H92+H151+H163</f>
        <v>0</v>
      </c>
      <c r="I6" s="60">
        <f>I53+I72+I36+I92+I151+I163</f>
        <v>0</v>
      </c>
      <c r="J6" s="60">
        <f>J53+J72+J36+J92+J151+J163</f>
        <v>0</v>
      </c>
      <c r="K6" s="60">
        <f>K53+K72+K36+K92+K151+K163</f>
        <v>0</v>
      </c>
      <c r="L6" s="60">
        <f>L53+L72+L36+L92+L151+L163</f>
        <v>0</v>
      </c>
      <c r="M6" s="60">
        <f>M53+M72+M36+M92+M151+M163</f>
        <v>0</v>
      </c>
      <c r="N6" s="61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</row>
    <row r="7" spans="1:50" customHeight="1" ht="15.75">
      <c r="A7" s="50" t="str">
        <f>"UAFIR FL. "&amp;RIGHT(YEAR(Mes_cierre),2)</f>
        <v>UAFIR FL. 21</v>
      </c>
      <c r="B7" s="60">
        <f>B54+B73+B37+B93+B152+B164</f>
        <v>25381.555027128</v>
      </c>
      <c r="C7" s="60">
        <f>C54+C73+C37+C93+C152+C164</f>
        <v>0</v>
      </c>
      <c r="D7" s="60">
        <f>D54+D73+D37+D93+D152+D164</f>
        <v>0</v>
      </c>
      <c r="E7" s="60">
        <f>E54+E73+E37+E93+E152+E164</f>
        <v>0</v>
      </c>
      <c r="F7" s="60">
        <f>F54+F73+F37+F93+F152+F164</f>
        <v>0</v>
      </c>
      <c r="G7" s="60">
        <f>G54+G73+G37+G93+G152+G164</f>
        <v>0</v>
      </c>
      <c r="H7" s="60">
        <f>H54+H73+H37+H93+H152+H164</f>
        <v>0</v>
      </c>
      <c r="I7" s="60">
        <f>I54+I73+I37+I93+I152+I164</f>
        <v>0</v>
      </c>
      <c r="J7" s="60">
        <f>J54+J73+J37+J93+J152+J164</f>
        <v>0</v>
      </c>
      <c r="K7" s="60">
        <f>K54+K73+K37+K93+K152+K164</f>
        <v>0</v>
      </c>
      <c r="L7" s="60">
        <f>L54+L73+L37+L93+L152+L164</f>
        <v>0</v>
      </c>
      <c r="M7" s="60">
        <f>M54+M73+M37+M93+M152+M164</f>
        <v>0</v>
      </c>
      <c r="N7" s="49"/>
      <c r="P7" s="48"/>
      <c r="AI7" s="50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</row>
    <row r="8" spans="1:50" customHeight="1" ht="15">
      <c r="A8" s="50" t="str">
        <f>"UAFIRFL.P."&amp;RIGHT(YEAR(Mes_cierre),2)</f>
        <v>UAFIRFL.P.21</v>
      </c>
      <c r="B8" s="60">
        <f>B55+B74+B38+B94+B153+B165</f>
        <v>23864.26192</v>
      </c>
      <c r="C8" s="60">
        <f>C55+C74+C38+C94+C153+C165</f>
        <v>0</v>
      </c>
      <c r="D8" s="60">
        <f>D55+D74+D38+D94+D153+D165</f>
        <v>0</v>
      </c>
      <c r="E8" s="60">
        <f>E55+E74+E38+E94+E153+E165</f>
        <v>0</v>
      </c>
      <c r="F8" s="60">
        <f>F55+F74+F38+F94+F153+F165</f>
        <v>0</v>
      </c>
      <c r="G8" s="60">
        <f>G55+G74+G38+G94+G153+G165</f>
        <v>0</v>
      </c>
      <c r="H8" s="60">
        <f>H55+H74+H38+H94+H153+H165</f>
        <v>0</v>
      </c>
      <c r="I8" s="60">
        <f>I55+I74+I38+I94+I153+I165</f>
        <v>0</v>
      </c>
      <c r="J8" s="60">
        <f>J55+J74+J38+J94+J153+J165</f>
        <v>0</v>
      </c>
      <c r="K8" s="60">
        <f>K55+K74+K38+K94+K153+K165</f>
        <v>0</v>
      </c>
      <c r="L8" s="60">
        <f>L55+L74+L38+L94+L153+L165</f>
        <v>0</v>
      </c>
      <c r="M8" s="60">
        <f>M55+M74+M38+M94+M153+M165</f>
        <v>0</v>
      </c>
      <c r="N8" s="49"/>
      <c r="P8" s="48"/>
      <c r="AI8" s="57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</row>
    <row r="9" spans="1:50" customHeight="1" ht="18">
      <c r="A9" s="50" t="str">
        <f>"S. Deuda "&amp;RIGHT(YEAR(Mes_cierre),2)</f>
        <v>S. Deuda 21</v>
      </c>
      <c r="B9" s="62">
        <f>B56+B75+B39+B95+B154+B19+B166</f>
        <v>0</v>
      </c>
      <c r="C9" s="62">
        <f>C56+C75+C39+C95+C154+C19+C166</f>
        <v>0</v>
      </c>
      <c r="D9" s="62">
        <f>D56+D75+D39+D95+D154+D19+D166</f>
        <v>0</v>
      </c>
      <c r="E9" s="62">
        <f>E56+E75+E39+E95+E154+E19+E166</f>
        <v>0</v>
      </c>
      <c r="F9" s="62">
        <f>F56+F75+F39+F95+F154+F19+F166</f>
        <v>0</v>
      </c>
      <c r="G9" s="62">
        <f>G56+G75+G39+G95+G154+G19+G166</f>
        <v>0</v>
      </c>
      <c r="H9" s="62">
        <f>H56+H75+H39+H95+H154+H19+H166</f>
        <v>0</v>
      </c>
      <c r="I9" s="62">
        <f>I56+I75+I39+I95+I154+I19+I166</f>
        <v>0</v>
      </c>
      <c r="J9" s="62">
        <f>J56+J75+J39+J95+J154+J19+J166</f>
        <v>0</v>
      </c>
      <c r="K9" s="62">
        <f>K56+K75+K39+K95+K154+K19+K166</f>
        <v>0</v>
      </c>
      <c r="L9" s="62">
        <f>L56+L75+L39+L95+L154+L19+L166</f>
        <v>0</v>
      </c>
      <c r="M9" s="62">
        <f>M56+M75+M39+M95+M154+M19+M166</f>
        <v>0</v>
      </c>
      <c r="N9" s="63"/>
      <c r="P9" s="48"/>
      <c r="AI9" s="50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</row>
    <row r="10" spans="1:50" customHeight="1" ht="18">
      <c r="A10" s="50" t="s">
        <v>209</v>
      </c>
      <c r="B10" s="62">
        <f>B57+B76+B40+B96+B155+B21+B167</f>
        <v>0</v>
      </c>
      <c r="C10" s="62">
        <f>C57+C76+C40+C96+C155+C21+C167</f>
        <v>0</v>
      </c>
      <c r="D10" s="62">
        <f>D57+D76+D40+D96+D155+D21+D167</f>
        <v>0</v>
      </c>
      <c r="E10" s="62">
        <f>E57+E76+E40+E96+E155+E21+E167</f>
        <v>0</v>
      </c>
      <c r="F10" s="62">
        <f>F57+F76+F40+F96+F155+F21+F167</f>
        <v>0</v>
      </c>
      <c r="G10" s="62">
        <f>G57+G76+G40+G96+G155+G21+G167</f>
        <v>0</v>
      </c>
      <c r="H10" s="62">
        <f>H57+H76+H40+H96+H155+H21+H167</f>
        <v>0</v>
      </c>
      <c r="I10" s="62">
        <f>I57+I76+I40+I96+I155+I21+I167</f>
        <v>0</v>
      </c>
      <c r="J10" s="62">
        <f>J57+J76+J40+J96+J155+J21+J167</f>
        <v>0</v>
      </c>
      <c r="K10" s="62">
        <f>K57+K76+K40+K96+K155+K21+K167</f>
        <v>0</v>
      </c>
      <c r="L10" s="62">
        <f>L57+L76+L40+L96+L155+L21+L167</f>
        <v>0</v>
      </c>
      <c r="M10" s="62">
        <f>M57+M76+M40+M96+M155+M21+M167</f>
        <v>0</v>
      </c>
      <c r="N10" s="63"/>
      <c r="P10" s="48"/>
      <c r="AI10" s="50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</row>
    <row r="11" spans="1:50">
      <c r="A11" s="64" t="s">
        <v>210</v>
      </c>
      <c r="B11" s="65">
        <f>IFERROR(B7/B4,0)</f>
        <v>0.094999052935203</v>
      </c>
      <c r="C11" s="65">
        <f>IFERROR(C7/C4,0)</f>
        <v>0</v>
      </c>
      <c r="D11" s="65">
        <f>IFERROR(D7/D4,0)</f>
        <v>0</v>
      </c>
      <c r="E11" s="65">
        <f>IFERROR(E7/E4,0)</f>
        <v>0</v>
      </c>
      <c r="F11" s="65">
        <f>IFERROR(F7/F4,0)</f>
        <v>0</v>
      </c>
      <c r="G11" s="65">
        <f>IFERROR(G7/G4,0)</f>
        <v>0</v>
      </c>
      <c r="H11" s="65">
        <f>IFERROR(H7/H4,0)</f>
        <v>0</v>
      </c>
      <c r="I11" s="65">
        <f>IFERROR(I7/I4,0)</f>
        <v>0</v>
      </c>
      <c r="J11" s="65">
        <f>IFERROR(J7/J4,0)</f>
        <v>0</v>
      </c>
      <c r="K11" s="65">
        <f>IFERROR(K7/K4,0)</f>
        <v>0</v>
      </c>
      <c r="L11" s="65">
        <f>IFERROR(L7/L4,0)</f>
        <v>0</v>
      </c>
      <c r="M11" s="65">
        <f>IFERROR(M7/M4,0)</f>
        <v>0</v>
      </c>
      <c r="N11" s="49"/>
      <c r="P11" s="48"/>
      <c r="AI11" s="50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</row>
    <row r="12" spans="1:50">
      <c r="A12" s="64" t="s">
        <v>211</v>
      </c>
      <c r="B12" s="67">
        <f>IFERROR(B8/B5,0)</f>
        <v>0.1576368107559</v>
      </c>
      <c r="C12" s="67">
        <f>IFERROR(C8/C5,0)</f>
        <v>0</v>
      </c>
      <c r="D12" s="67">
        <f>IFERROR(D8/D5,0)</f>
        <v>0</v>
      </c>
      <c r="E12" s="67">
        <f>IFERROR(E8/E5,0)</f>
        <v>0</v>
      </c>
      <c r="F12" s="67">
        <f>IFERROR(F8/F5,0)</f>
        <v>0</v>
      </c>
      <c r="G12" s="67">
        <f>IFERROR(G8/G5,0)</f>
        <v>0</v>
      </c>
      <c r="H12" s="67">
        <f>IFERROR(H8/H5,0)</f>
        <v>0</v>
      </c>
      <c r="I12" s="67">
        <f>IFERROR(I8/I5,0)</f>
        <v>0</v>
      </c>
      <c r="J12" s="67">
        <f>IFERROR(J8/J5,0)</f>
        <v>0</v>
      </c>
      <c r="K12" s="67">
        <f>IFERROR(K8/K5,0)</f>
        <v>0</v>
      </c>
      <c r="L12" s="67">
        <f>IFERROR(L8/L5,0)</f>
        <v>0</v>
      </c>
      <c r="M12" s="67">
        <f>IFERROR(M8/M5,0)</f>
        <v>0</v>
      </c>
      <c r="N12" s="49"/>
      <c r="P12" s="48"/>
      <c r="AI12" s="50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</row>
    <row r="13" spans="1:50">
      <c r="B13" s="68"/>
      <c r="C13" s="69"/>
      <c r="F13" s="70"/>
      <c r="G13" s="71"/>
      <c r="H13" s="71"/>
      <c r="L13" s="70"/>
      <c r="P13" s="48"/>
      <c r="AI13" s="50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</row>
    <row r="14" spans="1:50">
      <c r="B14" s="68"/>
      <c r="C14" s="69"/>
      <c r="E14" s="70"/>
      <c r="K14" s="70"/>
      <c r="P14" s="48"/>
      <c r="AI14" s="50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</row>
    <row r="15" spans="1:50">
      <c r="A15" s="72" t="s">
        <v>212</v>
      </c>
      <c r="B15" s="68"/>
      <c r="C15" s="69"/>
      <c r="P15" s="48"/>
      <c r="AI15" s="50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</row>
    <row r="16" spans="1:50">
      <c r="A16" s="64" t="s">
        <v>213</v>
      </c>
      <c r="B16" s="46" t="s">
        <v>214</v>
      </c>
      <c r="C16" s="46" t="s">
        <v>215</v>
      </c>
      <c r="D16" s="73" t="s">
        <v>216</v>
      </c>
      <c r="N16" s="74"/>
      <c r="P16" s="48"/>
      <c r="AI16" s="64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</row>
    <row r="17" spans="1:50">
      <c r="A17" s="64" t="s">
        <v>217</v>
      </c>
      <c r="B17" s="73" t="s">
        <v>218</v>
      </c>
      <c r="M17" s="75">
        <v>0</v>
      </c>
      <c r="N17" s="74"/>
      <c r="P17" s="48"/>
      <c r="AI17" s="64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</row>
    <row r="18" spans="1:50">
      <c r="A18" s="76" t="s">
        <v>219</v>
      </c>
      <c r="B18" s="77"/>
      <c r="C18" s="78"/>
      <c r="D18" s="78"/>
      <c r="E18" s="77"/>
      <c r="F18" s="77"/>
      <c r="G18" s="77"/>
      <c r="H18" s="77"/>
      <c r="I18" s="77"/>
      <c r="J18" s="77"/>
      <c r="K18" s="77"/>
      <c r="L18" s="77"/>
      <c r="M18" s="77"/>
      <c r="N18" s="79">
        <f>SUM(B18:M18)</f>
        <v>0</v>
      </c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</row>
    <row r="19" spans="1:50">
      <c r="A19" s="76" t="s">
        <v>220</v>
      </c>
      <c r="B19" s="77">
        <v>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9"/>
      <c r="O19" s="48">
        <f>division!D2</f>
        <v>0</v>
      </c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</row>
    <row r="20" spans="1:50">
      <c r="A20" s="64" t="s">
        <v>221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9">
        <f>SUM(B20:M20)</f>
        <v>0</v>
      </c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</row>
    <row r="21" spans="1:50">
      <c r="A21" s="64" t="s">
        <v>209</v>
      </c>
      <c r="B21" s="77">
        <v>0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9">
        <f>SUM(B21:M21)</f>
        <v>0</v>
      </c>
      <c r="O21" s="48">
        <f>division!D3</f>
        <v>0</v>
      </c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</row>
    <row r="22" spans="1:50">
      <c r="A22" s="48"/>
      <c r="B22" s="48"/>
      <c r="C22" s="48"/>
      <c r="D22" s="48"/>
      <c r="E22" s="81"/>
      <c r="F22" s="82"/>
      <c r="G22" s="48"/>
      <c r="H22" s="83"/>
      <c r="I22" s="82"/>
      <c r="J22" s="48"/>
      <c r="K22" s="48"/>
      <c r="L22" s="48"/>
      <c r="M22" s="84">
        <v>0</v>
      </c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</row>
    <row r="23" spans="1:50" customHeight="1" ht="13">
      <c r="A23" s="48"/>
      <c r="B23" s="48"/>
      <c r="C23" s="48"/>
      <c r="D23" s="48"/>
      <c r="E23" s="48"/>
      <c r="F23" s="48"/>
      <c r="G23" s="48"/>
      <c r="H23" s="83"/>
      <c r="I23" s="48"/>
      <c r="J23" s="48"/>
      <c r="K23" s="48"/>
      <c r="L23" s="48"/>
      <c r="M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</row>
    <row r="24" spans="1:50" customHeight="1" ht="13">
      <c r="A24" s="48"/>
      <c r="B24" s="85">
        <f>(0+0+14000+29000+12600+21500)*19.0388/1000+(0+0+0)/1000</f>
        <v>1467.89148</v>
      </c>
      <c r="C24" s="80">
        <f>(52000+7800+14000+29000+12600+21500)*19.2607/1000+(0+0+0)/1000</f>
        <v>2636.78983</v>
      </c>
      <c r="D24" s="80">
        <f>(26000+15600+14000+29000+12600+21500)*19.3779/1000+(0+0+0)/1000</f>
        <v>2300.15673</v>
      </c>
      <c r="E24" s="80">
        <f>(26000+7800+14000+29000+12600+21500)*19.0099/1000+(0+0+0)/1000</f>
        <v>2108.19791</v>
      </c>
      <c r="F24" s="80">
        <f>(26000+7800+14000+29000+52600+21500)*19.6426/1000+(0+0+0)/1000</f>
        <v>2964.06834</v>
      </c>
      <c r="G24" s="80">
        <f>(26000+7800+14000+29000+92600+21500)*19.2087/1000+(0+0+0)/1000</f>
        <v>3666.94083</v>
      </c>
      <c r="H24" s="80">
        <f>(26000+7800+14000+29000+94600+21500)*18.9929/1000+(0+0+0)/1000</f>
        <v>3663.73041</v>
      </c>
      <c r="I24" s="80"/>
      <c r="J24" s="80"/>
      <c r="K24" s="80"/>
      <c r="L24" s="80"/>
      <c r="M24" s="80"/>
      <c r="N24" s="49" t="s">
        <v>222</v>
      </c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</row>
    <row r="25" spans="1:50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N25" s="86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</row>
    <row r="26" spans="1:50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N26" s="86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</row>
    <row r="27" spans="1:50">
      <c r="A27" s="87" t="s">
        <v>223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</row>
    <row r="28" spans="1:50" customHeight="1" ht="13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</row>
    <row r="29" spans="1:50" customHeight="1" ht="13">
      <c r="A29" s="48"/>
      <c r="B29" s="48"/>
      <c r="C29" s="48"/>
      <c r="D29" s="48"/>
      <c r="E29" s="48"/>
      <c r="F29" s="48"/>
      <c r="G29" s="48"/>
      <c r="H29" s="48"/>
      <c r="I29" s="48"/>
      <c r="J29" s="83"/>
      <c r="K29" s="48"/>
      <c r="L29" s="48"/>
      <c r="M29" s="48"/>
      <c r="O29" s="49" t="s">
        <v>158</v>
      </c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</row>
    <row r="30" spans="1:50" customHeight="1" ht="18">
      <c r="A30" s="72" t="s">
        <v>224</v>
      </c>
      <c r="B30" s="89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</row>
    <row r="31" spans="1:50">
      <c r="A31" s="64" t="s">
        <v>213</v>
      </c>
      <c r="B31" s="90" t="s">
        <v>225</v>
      </c>
      <c r="C31" s="91" t="s">
        <v>226</v>
      </c>
      <c r="D31" s="90" t="s">
        <v>227</v>
      </c>
      <c r="E31" s="73" t="s">
        <v>228</v>
      </c>
      <c r="F31" s="48" t="s">
        <v>229</v>
      </c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</row>
    <row r="32" spans="1:50" customHeight="1" ht="18">
      <c r="A32" s="64" t="s">
        <v>217</v>
      </c>
      <c r="B32" s="73" t="s">
        <v>230</v>
      </c>
      <c r="C32" s="73" t="s">
        <v>231</v>
      </c>
      <c r="D32" s="73" t="s">
        <v>232</v>
      </c>
      <c r="E32" s="90"/>
      <c r="F32" s="90"/>
      <c r="G32" s="90"/>
      <c r="H32" s="52"/>
      <c r="I32" s="52"/>
      <c r="J32" s="52"/>
      <c r="K32" s="52"/>
      <c r="L32" s="52"/>
      <c r="M32" s="52"/>
      <c r="N32" s="53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</row>
    <row r="33" spans="1:50" customHeight="1" ht="18">
      <c r="A33" s="54">
        <v>0</v>
      </c>
      <c r="B33" s="55" t="s">
        <v>200</v>
      </c>
      <c r="C33" s="55" t="s">
        <v>201</v>
      </c>
      <c r="D33" s="55" t="s">
        <v>202</v>
      </c>
      <c r="E33" s="55" t="s">
        <v>203</v>
      </c>
      <c r="F33" s="55" t="s">
        <v>202</v>
      </c>
      <c r="G33" s="55" t="s">
        <v>204</v>
      </c>
      <c r="H33" s="55" t="s">
        <v>204</v>
      </c>
      <c r="I33" s="55" t="s">
        <v>203</v>
      </c>
      <c r="J33" s="55" t="s">
        <v>205</v>
      </c>
      <c r="K33" s="55" t="s">
        <v>206</v>
      </c>
      <c r="L33" s="55" t="s">
        <v>207</v>
      </c>
      <c r="M33" s="55" t="s">
        <v>208</v>
      </c>
      <c r="N33" s="56" t="s">
        <v>233</v>
      </c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</row>
    <row r="34" spans="1:50" customHeight="1" ht="18">
      <c r="A34" s="50" t="str">
        <f>A4</f>
        <v>Vtas. 21</v>
      </c>
      <c r="B34" s="58">
        <v>172515.283915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9">
        <f>SUM(B34:CHOOSE(MONTH(Mes_cierre),B34,C34,D34,E34,F34,G34,H34,I34,J34,K34,L34,M34))</f>
        <v>172515.283915</v>
      </c>
      <c r="O34" s="92"/>
      <c r="P34" s="93">
        <f>TablasER!$K$4</f>
        <v>172515.283915</v>
      </c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</row>
    <row r="35" spans="1:50" customHeight="1" ht="18">
      <c r="A35" s="50" t="str">
        <f>A5</f>
        <v>Vtas. P. 21</v>
      </c>
      <c r="B35" s="60">
        <v>140114.96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59">
        <f>SUM(B35:CHOOSE(MONTH(Mes_cierre),B35,C35,D35,E35,F35,G35,H35,I35,J35,K35,L35,M35))</f>
        <v>140114.96</v>
      </c>
      <c r="O35" s="92">
        <v>0</v>
      </c>
      <c r="P35" s="93">
        <f>TablasER!$AA$4</f>
        <v>140114.96</v>
      </c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</row>
    <row r="36" spans="1:50" customHeight="1" ht="18">
      <c r="A36" s="50" t="str">
        <f>A6</f>
        <v>Vtas. 20</v>
      </c>
      <c r="B36" s="60">
        <v>162469.56968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59">
        <f>SUM(B36:CHOOSE(MONTH(Mes_cierre),B36,C36,D36,E36,F36,G36,H36,I36,J36,K36,L36,M36))</f>
        <v>162469.56968</v>
      </c>
      <c r="O36" s="92"/>
      <c r="P36" s="93">
        <f>TablasER!$AQ$4</f>
        <v>162469.56968</v>
      </c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</row>
    <row r="37" spans="1:50" customHeight="1" ht="18">
      <c r="A37" s="50" t="str">
        <f>A7</f>
        <v>UAFIR FL. 21</v>
      </c>
      <c r="B37" s="60">
        <v>11384.31317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59">
        <f>SUM(B37:CHOOSE(MONTH(Mes_cierre),B37,C37,D37,E37,F37,G37,H37,I37,J37,K37,L37,M37))</f>
        <v>11384.31317</v>
      </c>
      <c r="O37" s="92"/>
      <c r="P37" s="93">
        <f>TablasER!$K$29</f>
        <v>11384.31317</v>
      </c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</row>
    <row r="38" spans="1:50" customHeight="1" ht="18">
      <c r="A38" s="50" t="str">
        <f>A8</f>
        <v>UAFIRFL.P.21</v>
      </c>
      <c r="B38" s="60">
        <v>20211.643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94">
        <f>SUM(B38:CHOOSE(MONTH(Mes_cierre),B38,C38,D38,E38,F38,G38,H38,I38,J38,K38,L38,M38))</f>
        <v>20211.643</v>
      </c>
      <c r="O38" s="92"/>
      <c r="P38" s="93">
        <f>TablasER!$AA$25</f>
        <v>20211.643</v>
      </c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</row>
    <row r="39" spans="1:50" customHeight="1" ht="18">
      <c r="A39" s="50" t="str">
        <f>A9</f>
        <v>S. Deuda 21</v>
      </c>
      <c r="B39" s="62">
        <v>0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59">
        <f>SUM(B39:CHOOSE(MONTH(Mes_cierre),B39,C39,D39,E39,F39,G39,H39,I39,J39,K39,L39,M39))</f>
        <v>0</v>
      </c>
      <c r="P39" s="299">
        <f>division!E2</f>
        <v>0</v>
      </c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</row>
    <row r="40" spans="1:50" customHeight="1" ht="18">
      <c r="A40" s="50" t="str">
        <f>A10</f>
        <v>Pagos Ext.</v>
      </c>
      <c r="B40" s="62">
        <v>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59"/>
      <c r="P40" s="299">
        <f>division!E3</f>
        <v>0</v>
      </c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</row>
    <row r="41" spans="1:50">
      <c r="A41" s="64" t="s">
        <v>210</v>
      </c>
      <c r="B41" s="65">
        <f>IFERROR(B37/B34,0)</f>
        <v>0.065990171488859</v>
      </c>
      <c r="C41" s="65">
        <f>IFERROR(C37/C34,0)</f>
        <v>0</v>
      </c>
      <c r="D41" s="65">
        <f>IFERROR(D37/D34,0)</f>
        <v>0</v>
      </c>
      <c r="E41" s="65">
        <f>IFERROR(E37/E34,0)</f>
        <v>0</v>
      </c>
      <c r="F41" s="65">
        <f>IFERROR(F38/F34,0)</f>
        <v>0</v>
      </c>
      <c r="G41" s="65">
        <f>IFERROR(G38/G34,0)</f>
        <v>0</v>
      </c>
      <c r="H41" s="65">
        <f>IFERROR(H38/H34,0)</f>
        <v>0</v>
      </c>
      <c r="I41" s="65">
        <f>IFERROR(I38/I34,0)</f>
        <v>0</v>
      </c>
      <c r="J41" s="65">
        <f>IFERROR(J38/J34,0)</f>
        <v>0</v>
      </c>
      <c r="K41" s="65">
        <f>IFERROR(K38/K34,0)</f>
        <v>0</v>
      </c>
      <c r="L41" s="65">
        <f>IFERROR(L38/L34,0)</f>
        <v>0</v>
      </c>
      <c r="M41" s="65">
        <f>IFERROR(M38/M34,0)</f>
        <v>0</v>
      </c>
      <c r="N41" s="66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</row>
    <row r="42" spans="1:50">
      <c r="A42" s="64" t="s">
        <v>211</v>
      </c>
      <c r="B42" s="95">
        <f>IFERROR(B38/B35,0)</f>
        <v>0.14425042836254</v>
      </c>
      <c r="C42" s="95">
        <f>IFERROR(C38/C35,0)</f>
        <v>0</v>
      </c>
      <c r="D42" s="95">
        <f>IFERROR(D38/D35,0)</f>
        <v>0</v>
      </c>
      <c r="E42" s="95">
        <f>IFERROR(E38/E35,0)</f>
        <v>0</v>
      </c>
      <c r="F42" s="95">
        <f>IFERROR(#REF!/F35,0)</f>
        <v>0</v>
      </c>
      <c r="G42" s="95">
        <f>IFERROR(#REF!/G35,0)</f>
        <v>0</v>
      </c>
      <c r="H42" s="95">
        <f>IFERROR(#REF!/H35,0)</f>
        <v>0</v>
      </c>
      <c r="I42" s="95">
        <f>IFERROR(#REF!/I35,0)</f>
        <v>0</v>
      </c>
      <c r="J42" s="95">
        <f>IFERROR(#REF!/J35,0)</f>
        <v>0</v>
      </c>
      <c r="K42" s="95">
        <f>IFERROR(#REF!/K35,0)</f>
        <v>0</v>
      </c>
      <c r="L42" s="95">
        <f>IFERROR(#REF!/L35,0)</f>
        <v>0</v>
      </c>
      <c r="M42" s="95">
        <f>IFERROR(#REF!/M35,0)</f>
        <v>0</v>
      </c>
      <c r="N42" s="96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</row>
    <row r="43" spans="1:50"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</row>
    <row r="44" spans="1:50">
      <c r="A44" s="76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74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</row>
    <row r="45" spans="1:50">
      <c r="A45" s="76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74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</row>
    <row r="46" spans="1:50">
      <c r="A46" s="76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74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</row>
    <row r="47" spans="1:50">
      <c r="A47" s="72" t="s">
        <v>234</v>
      </c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79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</row>
    <row r="48" spans="1:50">
      <c r="A48" s="64" t="s">
        <v>213</v>
      </c>
      <c r="B48" s="48" t="s">
        <v>235</v>
      </c>
      <c r="C48" s="48"/>
      <c r="D48" s="74"/>
      <c r="E48" s="74"/>
      <c r="F48" s="74"/>
      <c r="G48" s="97"/>
      <c r="H48" s="97"/>
      <c r="I48" s="97"/>
      <c r="J48" s="97"/>
      <c r="K48" s="97"/>
      <c r="L48" s="97"/>
      <c r="M48" s="97"/>
      <c r="N48" s="79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</row>
    <row r="49" spans="1:50">
      <c r="A49" s="64" t="s">
        <v>217</v>
      </c>
      <c r="B49" s="73" t="s">
        <v>236</v>
      </c>
      <c r="C49" s="73" t="s">
        <v>237</v>
      </c>
      <c r="D49" s="73" t="s">
        <v>238</v>
      </c>
      <c r="E49" s="73" t="s">
        <v>239</v>
      </c>
      <c r="F49" s="48" t="s">
        <v>240</v>
      </c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</row>
    <row r="50" spans="1:50" customHeight="1" ht="18">
      <c r="A50" s="54">
        <v>0</v>
      </c>
      <c r="B50" s="55" t="s">
        <v>200</v>
      </c>
      <c r="C50" s="55" t="s">
        <v>201</v>
      </c>
      <c r="D50" s="55" t="s">
        <v>202</v>
      </c>
      <c r="E50" s="55" t="s">
        <v>203</v>
      </c>
      <c r="F50" s="55" t="s">
        <v>202</v>
      </c>
      <c r="G50" s="55" t="s">
        <v>204</v>
      </c>
      <c r="H50" s="55" t="s">
        <v>204</v>
      </c>
      <c r="I50" s="55" t="s">
        <v>203</v>
      </c>
      <c r="J50" s="55" t="s">
        <v>205</v>
      </c>
      <c r="K50" s="55" t="s">
        <v>206</v>
      </c>
      <c r="L50" s="55" t="s">
        <v>207</v>
      </c>
      <c r="M50" s="55" t="s">
        <v>208</v>
      </c>
      <c r="N50" s="56" t="s">
        <v>233</v>
      </c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</row>
    <row r="51" spans="1:50" customHeight="1" ht="18">
      <c r="A51" s="50" t="str">
        <f>A4</f>
        <v>Vtas. 21</v>
      </c>
      <c r="B51" s="58">
        <v>53292.74775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9">
        <f>SUM(B51:CHOOSE(MONTH(Mes_cierre),B51,C51,D51,E51,F51,G51,H51,I51,J51,K51,L51,M51))</f>
        <v>53292.74775</v>
      </c>
      <c r="P51" s="93">
        <f>TablasER!$E$4</f>
        <v>53292.74775</v>
      </c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</row>
    <row r="52" spans="1:50" customHeight="1" ht="18">
      <c r="A52" s="50" t="str">
        <f>A5</f>
        <v>Vtas. P. 21</v>
      </c>
      <c r="B52" s="60">
        <v>0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59">
        <f>SUM(B52:CHOOSE(MONTH(Mes_cierre),B52,C52,D52,E52,F52,G52,H52,I52,J52,K52,L52,M52))</f>
        <v>0</v>
      </c>
      <c r="O52" s="92">
        <v>0</v>
      </c>
      <c r="P52" s="93">
        <f>TablasER!$U$4</f>
        <v>0</v>
      </c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</row>
    <row r="53" spans="1:50" customHeight="1" ht="18">
      <c r="A53" s="50" t="str">
        <f>A6</f>
        <v>Vtas. 20</v>
      </c>
      <c r="B53" s="60">
        <v>59051.46263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59">
        <f>SUM(B53:CHOOSE(MONTH(Mes_cierre),B53,C53,D53,E53,F53,G53,H53,I53,J53,K53,L53,M53))</f>
        <v>59051.46263</v>
      </c>
      <c r="P53" s="93">
        <f>TablasER!$AK$4</f>
        <v>59051.46263</v>
      </c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</row>
    <row r="54" spans="1:50" customHeight="1" ht="18">
      <c r="A54" s="50" t="str">
        <f>A7</f>
        <v>UAFIR FL. 21</v>
      </c>
      <c r="B54" s="60">
        <v>7270.53006</v>
      </c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59">
        <f>SUM(B54:CHOOSE(MONTH(Mes_cierre),B54,C54,D54,E54,F54,G54,H54,I54,J54,K54,L54,M54))</f>
        <v>7270.53006</v>
      </c>
      <c r="P54" s="93">
        <f>TablasER!$E$29</f>
        <v>7270.53006</v>
      </c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</row>
    <row r="55" spans="1:50" customHeight="1" ht="18">
      <c r="A55" s="50" t="str">
        <f>A8</f>
        <v>UAFIRFL.P.21</v>
      </c>
      <c r="B55" s="60">
        <v>0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59">
        <f>SUM(B55:CHOOSE(MONTH(Mes_cierre),B55,C55,D55,E55,F55,G55,H55,I55,J55,K55,L55,M55))</f>
        <v>0</v>
      </c>
      <c r="P55" s="93">
        <f>TablasER!$U$25</f>
        <v>0</v>
      </c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</row>
    <row r="56" spans="1:50" customHeight="1" ht="18">
      <c r="A56" s="98" t="str">
        <f>A9</f>
        <v>S. Deuda 21</v>
      </c>
      <c r="B56" s="62">
        <v>0</v>
      </c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59">
        <f>SUM(B56:CHOOSE(MONTH(Mes_cierre),B56,C56,D56,E56,F56,G56,H56,I56,J56,K56,L56,M56))</f>
        <v>0</v>
      </c>
      <c r="P56" s="49">
        <f>division!B2</f>
        <v>0</v>
      </c>
      <c r="Q56" s="83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</row>
    <row r="57" spans="1:50" customHeight="1" ht="18">
      <c r="A57" s="50" t="str">
        <f>A10</f>
        <v>Pagos Ext.</v>
      </c>
      <c r="B57" s="62">
        <v>0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59"/>
      <c r="P57" s="49">
        <f>division!B3</f>
        <v>0</v>
      </c>
      <c r="Q57" s="83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</row>
    <row r="58" spans="1:50">
      <c r="A58" s="64" t="s">
        <v>210</v>
      </c>
      <c r="B58" s="65">
        <f>IFERROR(B54/B51,0)</f>
        <v>0.13642625623484</v>
      </c>
      <c r="C58" s="65">
        <f>IFERROR(C54/C51,0)</f>
        <v>0</v>
      </c>
      <c r="D58" s="65">
        <f>IFERROR(D54/D51,0)</f>
        <v>0</v>
      </c>
      <c r="E58" s="65">
        <f>IFERROR(E54/E51,0)</f>
        <v>0</v>
      </c>
      <c r="F58" s="65">
        <f>IFERROR(F54/F51,0)</f>
        <v>0</v>
      </c>
      <c r="G58" s="65">
        <f>IFERROR(G54/G51,0)</f>
        <v>0</v>
      </c>
      <c r="H58" s="65">
        <f>IFERROR(H54/H51,0)</f>
        <v>0</v>
      </c>
      <c r="I58" s="65">
        <f>IFERROR(I54/I51,0)</f>
        <v>0</v>
      </c>
      <c r="J58" s="65">
        <f>IFERROR(J54/J51,0)</f>
        <v>0</v>
      </c>
      <c r="K58" s="65">
        <f>IFERROR(K54/K51,0)</f>
        <v>0</v>
      </c>
      <c r="L58" s="65">
        <f>IFERROR(L54/L51,0)</f>
        <v>0</v>
      </c>
      <c r="M58" s="65">
        <f>IFERROR(M54/M51,0)</f>
        <v>0</v>
      </c>
      <c r="Q58" s="83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</row>
    <row r="59" spans="1:50">
      <c r="A59" s="64" t="s">
        <v>211</v>
      </c>
      <c r="B59" s="67">
        <f>IFERROR(B55/B52,0)</f>
        <v>0</v>
      </c>
      <c r="C59" s="67">
        <f>IFERROR(C55/C52,0)</f>
        <v>0</v>
      </c>
      <c r="D59" s="67">
        <f>IFERROR(D55/D52,0)</f>
        <v>0</v>
      </c>
      <c r="E59" s="67">
        <f>IFERROR(E55/E52,0)</f>
        <v>0</v>
      </c>
      <c r="F59" s="67">
        <f>IFERROR(F55/F52,0)</f>
        <v>0</v>
      </c>
      <c r="G59" s="67">
        <f>IFERROR(G55/G52,0)</f>
        <v>0</v>
      </c>
      <c r="H59" s="67">
        <f>IFERROR(H55/H52,0)</f>
        <v>0</v>
      </c>
      <c r="I59" s="67">
        <f>IFERROR(I55/I52,0)</f>
        <v>0</v>
      </c>
      <c r="J59" s="67">
        <f>IFERROR(J55/J52,0)</f>
        <v>0</v>
      </c>
      <c r="K59" s="67">
        <f>IFERROR(K55/K52,0)</f>
        <v>0</v>
      </c>
      <c r="L59" s="67">
        <f>IFERROR(L55/L52,0)</f>
        <v>0</v>
      </c>
      <c r="M59" s="67">
        <f>IFERROR(M55/M52,0)</f>
        <v>0</v>
      </c>
      <c r="Q59" s="83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</row>
    <row r="60" spans="1:50">
      <c r="D60" s="99" t="str">
        <f>D57/D142</f>
        <v>0</v>
      </c>
      <c r="M60" s="70"/>
      <c r="Q60" s="83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</row>
    <row r="61" spans="1:50">
      <c r="A61" s="76"/>
      <c r="B61" s="97"/>
      <c r="C61" s="97"/>
      <c r="D61" s="97"/>
      <c r="E61" s="97"/>
      <c r="F61" s="97">
        <v>0</v>
      </c>
      <c r="G61" s="97"/>
      <c r="H61" s="97"/>
      <c r="I61" s="97"/>
      <c r="J61" s="97"/>
      <c r="K61" s="97"/>
      <c r="L61" s="97"/>
      <c r="M61" s="97"/>
      <c r="N61" s="74"/>
      <c r="Q61" s="83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</row>
    <row r="62" spans="1:50">
      <c r="A62" s="76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74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</row>
    <row r="63" spans="1:50">
      <c r="A63" s="76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74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</row>
    <row r="64" spans="1:50" customHeight="1" ht="18">
      <c r="A64" s="48"/>
      <c r="B64" s="89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</row>
    <row r="65" spans="1:50" customHeight="1" ht="18">
      <c r="A65" s="50"/>
      <c r="B65" s="89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</row>
    <row r="66" spans="1:50" customHeight="1" ht="18">
      <c r="A66" s="50" t="s">
        <v>241</v>
      </c>
      <c r="B66" s="89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</row>
    <row r="67" spans="1:50" customHeight="1" ht="18">
      <c r="A67" s="64" t="s">
        <v>213</v>
      </c>
      <c r="B67" s="89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</row>
    <row r="68" spans="1:50" customHeight="1" ht="15">
      <c r="A68" s="64" t="s">
        <v>217</v>
      </c>
      <c r="B68" s="73" t="s">
        <v>242</v>
      </c>
      <c r="C68" s="73" t="s">
        <v>243</v>
      </c>
      <c r="D68" s="73" t="s">
        <v>244</v>
      </c>
      <c r="E68" s="52"/>
      <c r="F68" s="52"/>
      <c r="G68" s="52"/>
      <c r="H68" s="52"/>
      <c r="I68" s="52"/>
      <c r="J68" s="52"/>
      <c r="K68" s="52"/>
      <c r="L68" s="52"/>
      <c r="M68" s="52"/>
      <c r="N68" s="53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</row>
    <row r="69" spans="1:50" customHeight="1" ht="18">
      <c r="A69" s="54">
        <v>0</v>
      </c>
      <c r="B69" s="55" t="s">
        <v>200</v>
      </c>
      <c r="C69" s="55" t="s">
        <v>201</v>
      </c>
      <c r="D69" s="55" t="s">
        <v>202</v>
      </c>
      <c r="E69" s="55" t="s">
        <v>203</v>
      </c>
      <c r="F69" s="55" t="s">
        <v>202</v>
      </c>
      <c r="G69" s="55" t="s">
        <v>204</v>
      </c>
      <c r="H69" s="55" t="s">
        <v>204</v>
      </c>
      <c r="I69" s="55" t="s">
        <v>203</v>
      </c>
      <c r="J69" s="55" t="s">
        <v>205</v>
      </c>
      <c r="K69" s="55" t="s">
        <v>206</v>
      </c>
      <c r="L69" s="55" t="s">
        <v>207</v>
      </c>
      <c r="M69" s="55" t="s">
        <v>208</v>
      </c>
      <c r="N69" s="56" t="s">
        <v>233</v>
      </c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</row>
    <row r="70" spans="1:50" customHeight="1" ht="18">
      <c r="A70" s="50" t="str">
        <f>A4</f>
        <v>Vtas. 21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9">
        <f>SUM(B70:CHOOSE(MONTH(Mes_cierre),B70,C70,D70,E70,F70,G70,H70,I70,J70,K70,L70,M70))</f>
        <v>0</v>
      </c>
      <c r="P70" s="367"/>
      <c r="AK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</row>
    <row r="71" spans="1:50" customHeight="1" ht="18">
      <c r="A71" s="50" t="str">
        <f>A5</f>
        <v>Vtas. P. 21</v>
      </c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59">
        <f>SUM(B71:CHOOSE(MONTH(Mes_cierre),B71,C71,D71,E71,F71,G71,H71,I71,J71,K71,L71,M71))</f>
        <v>0</v>
      </c>
      <c r="O71" s="92"/>
      <c r="P71" s="367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</row>
    <row r="72" spans="1:50" customHeight="1" ht="18">
      <c r="A72" s="50" t="str">
        <f>A6</f>
        <v>Vtas. 20</v>
      </c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59">
        <f>SUM(B72:CHOOSE(MONTH(Mes_cierre),B72,C72,D72,E72,F72,G72,H72,I72,J72,K72,L72,M72))</f>
        <v>0</v>
      </c>
      <c r="P72" s="367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</row>
    <row r="73" spans="1:50" customHeight="1" ht="18">
      <c r="A73" s="50" t="str">
        <f>A7</f>
        <v>UAFIR FL. 21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59">
        <f>SUM(B73:CHOOSE(MONTH(Mes_cierre),B73,C73,D73,E73,F73,G73,H73,I73,J73,K73,L73,M73))</f>
        <v>0</v>
      </c>
      <c r="P73" s="367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</row>
    <row r="74" spans="1:50" customHeight="1" ht="18">
      <c r="A74" s="50" t="str">
        <f>A8</f>
        <v>UAFIRFL.P.21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59">
        <f>SUM(B74:CHOOSE(MONTH(Mes_cierre),B74,C74,D74,E74,F74,G74,H74,I74,J74,K74,L74,M74))</f>
        <v>0</v>
      </c>
      <c r="P74" s="367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</row>
    <row r="75" spans="1:50" customHeight="1" ht="18">
      <c r="A75" s="50" t="str">
        <f>A9</f>
        <v>S. Deuda 21</v>
      </c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59">
        <f>SUM(B75:CHOOSE(MONTH(Mes_cierre),B75,C75,D75,E75,F75,G75,H75,I75,J75,K75,L75,M75))</f>
        <v>0</v>
      </c>
      <c r="P75" s="368"/>
      <c r="Q75" s="83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</row>
    <row r="76" spans="1:50" customHeight="1" ht="18">
      <c r="A76" s="50" t="str">
        <f>A10</f>
        <v>Pagos Ext.</v>
      </c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59"/>
      <c r="P76" s="368"/>
      <c r="Q76" s="83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</row>
    <row r="77" spans="1:50">
      <c r="A77" s="64" t="s">
        <v>210</v>
      </c>
      <c r="B77" s="65">
        <f>IFERROR(B73/B70,0)</f>
        <v>0</v>
      </c>
      <c r="C77" s="65">
        <f>IFERROR(C73/C70,0)</f>
        <v>0</v>
      </c>
      <c r="D77" s="65">
        <f>IFERROR(D73/D70,0)</f>
        <v>0</v>
      </c>
      <c r="E77" s="65">
        <f>IFERROR(E73/E70,0)</f>
        <v>0</v>
      </c>
      <c r="F77" s="65">
        <f>IFERROR(F73/F70,0)</f>
        <v>0</v>
      </c>
      <c r="G77" s="65">
        <f>IFERROR(G73/G70,0)</f>
        <v>0</v>
      </c>
      <c r="H77" s="65">
        <f>IFERROR(H73/H70,0)</f>
        <v>0</v>
      </c>
      <c r="I77" s="65">
        <f>IFERROR(I73/I70,0)</f>
        <v>0</v>
      </c>
      <c r="J77" s="65">
        <f>IFERROR(J73/J70,0)</f>
        <v>0</v>
      </c>
      <c r="K77" s="65">
        <f>IFERROR(K73/K70,0)</f>
        <v>0</v>
      </c>
      <c r="L77" s="65">
        <f>IFERROR(L73/L70,0)</f>
        <v>0</v>
      </c>
      <c r="M77" s="65">
        <f>IFERROR(M73/M70,0)</f>
        <v>0</v>
      </c>
      <c r="N77" s="66"/>
      <c r="Q77" s="83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</row>
    <row r="78" spans="1:50">
      <c r="A78" s="64" t="s">
        <v>211</v>
      </c>
      <c r="B78" s="95">
        <f>IFERROR(B74/B71,0)</f>
        <v>0</v>
      </c>
      <c r="C78" s="95">
        <f>IFERROR(C74/C71,0)</f>
        <v>0</v>
      </c>
      <c r="D78" s="95">
        <f>IFERROR(D74/D71,0)</f>
        <v>0</v>
      </c>
      <c r="E78" s="95">
        <f>IFERROR(E74/E71,0)</f>
        <v>0</v>
      </c>
      <c r="F78" s="95">
        <f>IFERROR(F74/F71,0)</f>
        <v>0</v>
      </c>
      <c r="G78" s="95">
        <f>IFERROR(G74/G71,0)</f>
        <v>0</v>
      </c>
      <c r="H78" s="95">
        <f>IFERROR(H74/H71,0)</f>
        <v>0</v>
      </c>
      <c r="I78" s="95">
        <f>IFERROR(I74/I71,0)</f>
        <v>0</v>
      </c>
      <c r="J78" s="95">
        <f>IFERROR(J74/J71,0)</f>
        <v>0</v>
      </c>
      <c r="K78" s="95">
        <f>IFERROR(K74/K71,0)</f>
        <v>0</v>
      </c>
      <c r="L78" s="95">
        <f>IFERROR(L74/L71,0)</f>
        <v>0</v>
      </c>
      <c r="M78" s="95">
        <f>IFERROR(M74/M71,0)</f>
        <v>0</v>
      </c>
      <c r="N78" s="96"/>
      <c r="Q78" s="83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</row>
    <row r="79" spans="1:50">
      <c r="M79" s="70"/>
      <c r="Q79" s="83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</row>
    <row r="80" spans="1:50">
      <c r="A80" s="76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74"/>
      <c r="Q80" s="83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</row>
    <row r="81" spans="1:50">
      <c r="A81" s="76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74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</row>
    <row r="82" spans="1:50">
      <c r="A82" s="76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74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</row>
    <row r="83" spans="1:50">
      <c r="A83" s="76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74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</row>
    <row r="84" spans="1:50">
      <c r="A84" s="76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74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</row>
    <row r="85" spans="1:50">
      <c r="A85" s="76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74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</row>
    <row r="86" spans="1:50" customHeight="1" ht="18">
      <c r="A86" s="72" t="s">
        <v>245</v>
      </c>
      <c r="B86" s="89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</row>
    <row r="87" spans="1:50">
      <c r="A87" s="64" t="s">
        <v>213</v>
      </c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</row>
    <row r="88" spans="1:50" customHeight="1" ht="18">
      <c r="A88" s="64" t="s">
        <v>217</v>
      </c>
      <c r="B88" s="52"/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3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</row>
    <row r="89" spans="1:50" customHeight="1" ht="18">
      <c r="A89" s="54">
        <v>0</v>
      </c>
      <c r="B89" s="55" t="s">
        <v>200</v>
      </c>
      <c r="C89" s="55" t="s">
        <v>201</v>
      </c>
      <c r="D89" s="55" t="s">
        <v>202</v>
      </c>
      <c r="E89" s="55" t="s">
        <v>203</v>
      </c>
      <c r="F89" s="55" t="s">
        <v>202</v>
      </c>
      <c r="G89" s="55" t="s">
        <v>204</v>
      </c>
      <c r="H89" s="55" t="s">
        <v>204</v>
      </c>
      <c r="I89" s="55" t="s">
        <v>203</v>
      </c>
      <c r="J89" s="55" t="s">
        <v>205</v>
      </c>
      <c r="K89" s="55" t="s">
        <v>206</v>
      </c>
      <c r="L89" s="55" t="s">
        <v>207</v>
      </c>
      <c r="M89" s="55" t="s">
        <v>208</v>
      </c>
      <c r="N89" s="56" t="s">
        <v>233</v>
      </c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</row>
    <row r="90" spans="1:50" customHeight="1" ht="18">
      <c r="A90" s="50" t="str">
        <f>A4</f>
        <v>Vtas. 21</v>
      </c>
      <c r="B90" s="58">
        <v>7406.90976</v>
      </c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9">
        <f>SUM(B90:CHOOSE(MONTH(Mes_cierre),B90,C90,D90,E90,F90,G90,H90,I90,J90,K90,L90,M90))</f>
        <v>7406.90976</v>
      </c>
      <c r="P90" s="93">
        <f>TablasER!$M$4</f>
        <v>7406.90976</v>
      </c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</row>
    <row r="91" spans="1:50" customHeight="1" ht="18">
      <c r="A91" s="50" t="str">
        <f>A5</f>
        <v>Vtas. P. 21</v>
      </c>
      <c r="B91" s="60">
        <v>11272.662</v>
      </c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94">
        <f>SUM(B91:CHOOSE(MONTH(Mes_cierre),B91,C91,D91,E91,F91,G91,H91,I91,J91,K91,L91,M91))</f>
        <v>11272.662</v>
      </c>
      <c r="O91" s="92">
        <v>0</v>
      </c>
      <c r="P91" s="93">
        <f>TablasER!$AC$4</f>
        <v>11272.662</v>
      </c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</row>
    <row r="92" spans="1:50" customHeight="1" ht="18">
      <c r="A92" s="50" t="str">
        <f>A6</f>
        <v>Vtas. 20</v>
      </c>
      <c r="B92" s="60">
        <v>1309.97786</v>
      </c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59">
        <f>SUM(B92:CHOOSE(MONTH(Mes_cierre),B92,C92,D92,E92,F92,G92,H92,I92,J92,K92,L92,M92))</f>
        <v>1309.97786</v>
      </c>
      <c r="P92" s="93">
        <f>TablasER!$AS$4</f>
        <v>1309.97786</v>
      </c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</row>
    <row r="93" spans="1:50" customHeight="1" ht="18">
      <c r="A93" s="50" t="str">
        <f>A7</f>
        <v>UAFIR FL. 21</v>
      </c>
      <c r="B93" s="60">
        <v>2900.92573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59">
        <f>SUM(B93:CHOOSE(MONTH(Mes_cierre),B93,C93,D93,E93,F93,G93,H93,I93,J93,K93,L93,M93))</f>
        <v>2900.92573</v>
      </c>
      <c r="P93" s="93">
        <f>TablasER!$M$29</f>
        <v>2900.92573</v>
      </c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</row>
    <row r="94" spans="1:50" customHeight="1" ht="18">
      <c r="A94" s="50" t="str">
        <f>A8</f>
        <v>UAFIRFL.P.21</v>
      </c>
      <c r="B94" s="60">
        <v>2884.542</v>
      </c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94">
        <f>SUM(B94:CHOOSE(MONTH(Mes_cierre),B94,C94,D94,E94,F94,G94,H94,I94,J94,K94,L94,M94))</f>
        <v>2884.542</v>
      </c>
      <c r="P94" s="93">
        <f>TablasER!$AC$25</f>
        <v>2884.542</v>
      </c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</row>
    <row r="95" spans="1:50" customHeight="1" ht="18">
      <c r="A95" s="50" t="str">
        <f>A9</f>
        <v>S. Deuda 21</v>
      </c>
      <c r="B95" s="62">
        <v>0</v>
      </c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59">
        <f>SUM(B95:CHOOSE(MONTH(Mes_cierre),B95,C95,D95,E95,F95,G95,H95,I95,J95,K95,L95,M95))</f>
        <v>0</v>
      </c>
      <c r="P95" s="49">
        <f>division!F2</f>
        <v>0</v>
      </c>
      <c r="Q95" s="83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</row>
    <row r="96" spans="1:50" customHeight="1" ht="18">
      <c r="A96" s="50" t="str">
        <f>A10</f>
        <v>Pagos Ext.</v>
      </c>
      <c r="B96" s="62">
        <v>0</v>
      </c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59"/>
      <c r="P96" s="49">
        <f>division!F3</f>
        <v>0</v>
      </c>
      <c r="Q96" s="83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</row>
    <row r="97" spans="1:50">
      <c r="A97" s="64" t="s">
        <v>210</v>
      </c>
      <c r="B97" s="65">
        <f>IFERROR(B93/B90,0)</f>
        <v>0.39165128562333</v>
      </c>
      <c r="C97" s="65">
        <f>IFERROR(C93/C90,0)</f>
        <v>0</v>
      </c>
      <c r="D97" s="65">
        <f>IFERROR(D93/D90,0)</f>
        <v>0</v>
      </c>
      <c r="E97" s="65">
        <f>IFERROR(E93/E90,0)</f>
        <v>0</v>
      </c>
      <c r="F97" s="65">
        <f>IFERROR(F93/F90,0)</f>
        <v>0</v>
      </c>
      <c r="G97" s="65">
        <f>IFERROR(G93/G90,0)</f>
        <v>0</v>
      </c>
      <c r="H97" s="65">
        <f>IFERROR(H93/H90,0)</f>
        <v>0</v>
      </c>
      <c r="I97" s="65">
        <f>IFERROR(I93/I90,0)</f>
        <v>0</v>
      </c>
      <c r="J97" s="65">
        <f>IFERROR(J93/J90,0)</f>
        <v>0</v>
      </c>
      <c r="K97" s="65">
        <f>IFERROR(K93/K90,0)</f>
        <v>0</v>
      </c>
      <c r="L97" s="65">
        <f>IFERROR(L93/L90,0)</f>
        <v>0</v>
      </c>
      <c r="M97" s="65">
        <f>IFERROR(M93/M90,0)</f>
        <v>0</v>
      </c>
      <c r="N97" s="66"/>
      <c r="Q97" s="83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</row>
    <row r="98" spans="1:50">
      <c r="A98" s="64" t="s">
        <v>211</v>
      </c>
      <c r="B98" s="95">
        <f>IFERROR(B94/B91,0)</f>
        <v>0.25588827199822</v>
      </c>
      <c r="C98" s="95">
        <f>IFERROR(C94/C91,0)</f>
        <v>0</v>
      </c>
      <c r="D98" s="95">
        <f>IFERROR(D94/D91,0)</f>
        <v>0</v>
      </c>
      <c r="E98" s="95">
        <f>IFERROR(E94/E91,0)</f>
        <v>0</v>
      </c>
      <c r="F98" s="95">
        <f>IFERROR(F94/F91,0)</f>
        <v>0</v>
      </c>
      <c r="G98" s="95">
        <f>IFERROR(G94/G91,0)</f>
        <v>0</v>
      </c>
      <c r="H98" s="95">
        <f>IFERROR(H94/H91,0)</f>
        <v>0</v>
      </c>
      <c r="I98" s="95">
        <f>IFERROR(I94/I91,0)</f>
        <v>0</v>
      </c>
      <c r="J98" s="95">
        <f>IFERROR(J94/J91,0)</f>
        <v>0</v>
      </c>
      <c r="K98" s="95">
        <f>IFERROR(K94/K91,0)</f>
        <v>0</v>
      </c>
      <c r="L98" s="95">
        <f>IFERROR(L94/L91,0)</f>
        <v>0</v>
      </c>
      <c r="M98" s="95">
        <f>IFERROR(M94/M91,0)</f>
        <v>0</v>
      </c>
      <c r="N98" s="96"/>
      <c r="Q98" s="83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</row>
    <row r="99" spans="1:50">
      <c r="M99" s="70"/>
      <c r="Q99" s="83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</row>
    <row r="100" spans="1:50">
      <c r="A100" s="76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74"/>
      <c r="Q100" s="83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</row>
    <row r="101" spans="1:50">
      <c r="A101" s="76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74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</row>
    <row r="102" spans="1:50" customHeight="1" ht="13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74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</row>
    <row r="103" spans="1:50" s="64" customFormat="1">
      <c r="A103" s="76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74"/>
      <c r="O103" s="48"/>
      <c r="P103" s="49"/>
      <c r="Q103" s="48"/>
      <c r="R103" s="48"/>
    </row>
    <row r="104" spans="1:50" customHeight="1" ht="18" s="64" customFormat="1">
      <c r="A104" s="72" t="s">
        <v>246</v>
      </c>
      <c r="B104" s="89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8"/>
      <c r="O104" s="48"/>
      <c r="P104" s="49"/>
      <c r="Q104" s="48"/>
      <c r="R104" s="48"/>
    </row>
    <row r="105" spans="1:50">
      <c r="A105" s="64" t="s">
        <v>247</v>
      </c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</row>
    <row r="106" spans="1:50" customHeight="1" ht="18">
      <c r="A106" s="64" t="s">
        <v>248</v>
      </c>
      <c r="B106" s="52"/>
      <c r="C106" s="52"/>
      <c r="D106" s="51"/>
      <c r="E106" s="52"/>
      <c r="F106" s="52"/>
      <c r="G106" s="52"/>
      <c r="H106" s="52"/>
      <c r="I106" s="52"/>
      <c r="J106" s="52"/>
      <c r="K106" s="52"/>
      <c r="L106" s="52"/>
      <c r="M106" s="52"/>
      <c r="N106" s="53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</row>
    <row r="107" spans="1:50" customHeight="1" ht="18">
      <c r="A107" s="54">
        <v>0</v>
      </c>
      <c r="B107" s="100" t="s">
        <v>200</v>
      </c>
      <c r="C107" s="55" t="s">
        <v>201</v>
      </c>
      <c r="D107" s="55" t="s">
        <v>202</v>
      </c>
      <c r="E107" s="55" t="s">
        <v>203</v>
      </c>
      <c r="F107" s="55" t="s">
        <v>202</v>
      </c>
      <c r="G107" s="55" t="s">
        <v>204</v>
      </c>
      <c r="H107" s="55" t="s">
        <v>204</v>
      </c>
      <c r="I107" s="55" t="s">
        <v>203</v>
      </c>
      <c r="J107" s="55" t="s">
        <v>205</v>
      </c>
      <c r="K107" s="55" t="s">
        <v>206</v>
      </c>
      <c r="L107" s="55" t="s">
        <v>207</v>
      </c>
      <c r="M107" s="55" t="s">
        <v>208</v>
      </c>
      <c r="N107" s="56" t="s">
        <v>233</v>
      </c>
      <c r="P107" s="101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</row>
    <row r="108" spans="1:50" customHeight="1" ht="18">
      <c r="A108" s="50" t="str">
        <f>A4</f>
        <v>Vtas. 21</v>
      </c>
      <c r="B108" s="58">
        <v>1576.12703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9">
        <v>16299.75604</v>
      </c>
      <c r="P108" s="101">
        <f>TablasER!$G$77</f>
        <v>1576.12703</v>
      </c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</row>
    <row r="109" spans="1:50" customHeight="1" ht="18">
      <c r="A109" s="50" t="str">
        <f>A5</f>
        <v>Vtas. P. 21</v>
      </c>
      <c r="B109" s="60">
        <v>1400.561</v>
      </c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94">
        <v>17054.687093435</v>
      </c>
      <c r="O109" s="92">
        <v>0</v>
      </c>
      <c r="P109" s="101">
        <f>TablasER!$W$77</f>
        <v>1400.561</v>
      </c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</row>
    <row r="110" spans="1:50" customHeight="1" ht="18">
      <c r="A110" s="50" t="str">
        <f>A6</f>
        <v>Vtas. 20</v>
      </c>
      <c r="B110" s="60">
        <v>1347.00824</v>
      </c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59">
        <v>17379.48637</v>
      </c>
      <c r="P110" s="101">
        <f>TablasER!$AM$77</f>
        <v>1347.00824</v>
      </c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</row>
    <row r="111" spans="1:50" customHeight="1" ht="18">
      <c r="A111" s="50" t="str">
        <f>A7</f>
        <v>UAFIR FL. 21</v>
      </c>
      <c r="B111" s="60">
        <v>107.71134</v>
      </c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59">
        <v>59.10069</v>
      </c>
      <c r="O111" s="92">
        <v>0</v>
      </c>
      <c r="P111" s="101">
        <f>TablasER!$G$98</f>
        <v>107.71134</v>
      </c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</row>
    <row r="112" spans="1:50" customHeight="1" ht="18">
      <c r="A112" s="50" t="str">
        <f>A8</f>
        <v>UAFIRFL.P.21</v>
      </c>
      <c r="B112" s="60">
        <v>-32.689</v>
      </c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94">
        <v>-255.5246616847</v>
      </c>
      <c r="O112" s="92">
        <v>0</v>
      </c>
      <c r="P112" s="101">
        <f>TablasER!$W$98</f>
        <v>-32.689</v>
      </c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</row>
    <row r="113" spans="1:50" customHeight="1" ht="18">
      <c r="A113" s="50" t="str">
        <f>A9</f>
        <v>S. Deuda 21</v>
      </c>
      <c r="B113" s="62">
        <v>0</v>
      </c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59">
        <v>442.9698445</v>
      </c>
      <c r="P113" s="48">
        <f>division!G2/TC_MES</f>
        <v>0</v>
      </c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</row>
    <row r="114" spans="1:50" customHeight="1" ht="18">
      <c r="A114" s="50" t="str">
        <f>A10</f>
        <v>Pagos Ext.</v>
      </c>
      <c r="B114" s="62">
        <v>0</v>
      </c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59">
        <v>5728.2640655</v>
      </c>
      <c r="P114" s="48">
        <f>division!G3/TC_MES</f>
        <v>0</v>
      </c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</row>
    <row r="115" spans="1:50">
      <c r="A115" s="64" t="s">
        <v>210</v>
      </c>
      <c r="B115" s="102">
        <f>IFERROR(B111/B108,0)</f>
        <v>0.06833925054886</v>
      </c>
      <c r="C115" s="102">
        <f>IFERROR(C111/C108,0)</f>
        <v>0</v>
      </c>
      <c r="D115" s="102">
        <f>IFERROR(D111/D108,0)</f>
        <v>0</v>
      </c>
      <c r="E115" s="102">
        <f>IFERROR(E111/E108,0)</f>
        <v>0</v>
      </c>
      <c r="F115" s="102">
        <f>IFERROR(F111/F108,0)</f>
        <v>0</v>
      </c>
      <c r="G115" s="102">
        <f>IFERROR(G111/G108,0)</f>
        <v>0</v>
      </c>
      <c r="H115" s="102">
        <f>IFERROR(H111/H108,0)</f>
        <v>0</v>
      </c>
      <c r="I115" s="102">
        <f>IFERROR(I111/I108,0)</f>
        <v>0</v>
      </c>
      <c r="J115" s="102">
        <f>IFERROR(J111/J108,0)</f>
        <v>0</v>
      </c>
      <c r="K115" s="102">
        <f>IFERROR(K111/K108,0)</f>
        <v>0</v>
      </c>
      <c r="L115" s="102">
        <f>IFERROR(L111/L108,0)</f>
        <v>0</v>
      </c>
      <c r="M115" s="102">
        <f>IFERROR(M111/M108,0)</f>
        <v>0</v>
      </c>
      <c r="N115" s="103"/>
      <c r="P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</row>
    <row r="116" spans="1:50">
      <c r="A116" s="64" t="s">
        <v>211</v>
      </c>
      <c r="B116" s="95">
        <f>IFERROR(B112/B109,0)</f>
        <v>-0.023339933069677</v>
      </c>
      <c r="C116" s="95">
        <f>IFERROR(C112/C109,0)</f>
        <v>0</v>
      </c>
      <c r="D116" s="95">
        <f>IFERROR(D112/D109,0)</f>
        <v>0</v>
      </c>
      <c r="E116" s="95">
        <f>IFERROR(E112/E109,0)</f>
        <v>0</v>
      </c>
      <c r="F116" s="95">
        <f>IFERROR(F112/F109,0)</f>
        <v>0</v>
      </c>
      <c r="G116" s="95">
        <f>IFERROR(G112/G109,0)</f>
        <v>0</v>
      </c>
      <c r="H116" s="95">
        <f>IFERROR(H112/H109,0)</f>
        <v>0</v>
      </c>
      <c r="I116" s="95">
        <f>IFERROR(I112/I109,0)</f>
        <v>0</v>
      </c>
      <c r="J116" s="95">
        <f>IFERROR(J112/J109,0)</f>
        <v>0</v>
      </c>
      <c r="K116" s="95">
        <f>IFERROR(K112/K109,0)</f>
        <v>0</v>
      </c>
      <c r="L116" s="95">
        <f>IFERROR(L112/L109,0)</f>
        <v>0</v>
      </c>
      <c r="M116" s="95">
        <f>IFERROR(M112/M109,0)</f>
        <v>0</v>
      </c>
      <c r="N116" s="104"/>
      <c r="P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</row>
    <row r="117" spans="1:50">
      <c r="I117" s="70"/>
      <c r="M117" s="70"/>
      <c r="N117" s="73"/>
      <c r="P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</row>
    <row r="118" spans="1:50">
      <c r="A118" s="76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105"/>
      <c r="N118" s="74"/>
      <c r="P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</row>
    <row r="119" spans="1:50" customHeight="1" ht="18">
      <c r="A119" s="72" t="s">
        <v>249</v>
      </c>
      <c r="B119" s="89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</row>
    <row r="120" spans="1:50">
      <c r="A120" s="64" t="s">
        <v>247</v>
      </c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</row>
    <row r="121" spans="1:50" customHeight="1" ht="18">
      <c r="A121" s="64" t="s">
        <v>248</v>
      </c>
      <c r="B121" s="52"/>
      <c r="C121" s="52"/>
      <c r="D121" s="51"/>
      <c r="E121" s="52"/>
      <c r="F121" s="52"/>
      <c r="G121" s="52"/>
      <c r="H121" s="52"/>
      <c r="I121" s="52"/>
      <c r="J121" s="52"/>
      <c r="K121" s="52"/>
      <c r="L121" s="52"/>
      <c r="M121" s="52"/>
      <c r="N121" s="53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</row>
    <row r="122" spans="1:50" customHeight="1" ht="18">
      <c r="A122" s="54">
        <v>0</v>
      </c>
      <c r="B122" s="100" t="s">
        <v>200</v>
      </c>
      <c r="C122" s="55" t="s">
        <v>201</v>
      </c>
      <c r="D122" s="55" t="s">
        <v>202</v>
      </c>
      <c r="E122" s="55" t="s">
        <v>203</v>
      </c>
      <c r="F122" s="55" t="s">
        <v>202</v>
      </c>
      <c r="G122" s="55" t="s">
        <v>204</v>
      </c>
      <c r="H122" s="55" t="s">
        <v>204</v>
      </c>
      <c r="I122" s="55" t="s">
        <v>203</v>
      </c>
      <c r="J122" s="55" t="s">
        <v>205</v>
      </c>
      <c r="K122" s="55" t="s">
        <v>206</v>
      </c>
      <c r="L122" s="55" t="s">
        <v>207</v>
      </c>
      <c r="M122" s="55" t="s">
        <v>208</v>
      </c>
      <c r="N122" s="56" t="s">
        <v>233</v>
      </c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</row>
    <row r="123" spans="1:50" customHeight="1" ht="18">
      <c r="A123" s="50" t="str">
        <f>A4</f>
        <v>Vtas. 21</v>
      </c>
      <c r="B123" s="58">
        <v>103.09776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9">
        <v>853.22961</v>
      </c>
      <c r="P123" s="101">
        <f>TablasER!$I$77</f>
        <v>103.09776</v>
      </c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</row>
    <row r="124" spans="1:50" customHeight="1" ht="18">
      <c r="A124" s="50" t="str">
        <f>A5</f>
        <v>Vtas. P. 21</v>
      </c>
      <c r="B124" s="60">
        <v>103.875</v>
      </c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94">
        <v>809.81639310764</v>
      </c>
      <c r="O124" s="92">
        <v>0</v>
      </c>
      <c r="P124" s="101">
        <f>TablasER!$Y$77</f>
        <v>103.875</v>
      </c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</row>
    <row r="125" spans="1:50" customHeight="1" ht="18">
      <c r="A125" s="50" t="str">
        <f>A6</f>
        <v>Vtas. 20</v>
      </c>
      <c r="B125" s="60">
        <v>131.75091</v>
      </c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59">
        <v>840.96176</v>
      </c>
      <c r="P125" s="101">
        <f>TablasER!$AO$77</f>
        <v>131.75091</v>
      </c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</row>
    <row r="126" spans="1:50" customHeight="1" ht="18">
      <c r="A126" s="50" t="str">
        <f>A7</f>
        <v>UAFIR FL. 21</v>
      </c>
      <c r="B126" s="60">
        <v>81.45177</v>
      </c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59">
        <v>787.12428</v>
      </c>
      <c r="O126" s="106">
        <v>0</v>
      </c>
      <c r="P126" s="101">
        <f>TablasER!$I$98</f>
        <v>81.45177</v>
      </c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</row>
    <row r="127" spans="1:50" customHeight="1" ht="18">
      <c r="A127" s="50" t="str">
        <f>A8</f>
        <v>UAFIRFL.P.21</v>
      </c>
      <c r="B127" s="60">
        <v>70.675</v>
      </c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94">
        <v>737.03331745438</v>
      </c>
      <c r="O127" s="106">
        <v>0</v>
      </c>
      <c r="P127" s="101">
        <f>TablasER!$Y$98</f>
        <v>70.675</v>
      </c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</row>
    <row r="128" spans="1:50" customHeight="1" ht="18">
      <c r="A128" s="50" t="str">
        <f>A9</f>
        <v>S. Deuda 21</v>
      </c>
      <c r="B128" s="62">
        <v>0</v>
      </c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59">
        <v>442.794</v>
      </c>
      <c r="P128" s="93">
        <f>division!H2/TC_MES</f>
        <v>0</v>
      </c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</row>
    <row r="129" spans="1:50" customHeight="1" ht="18">
      <c r="A129" s="50" t="str">
        <f>A10</f>
        <v>Pagos Ext.</v>
      </c>
      <c r="B129" s="62">
        <v>0</v>
      </c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59">
        <v>961.55428</v>
      </c>
      <c r="P129" s="93">
        <f>division!H3/TC_MES</f>
        <v>0</v>
      </c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</row>
    <row r="130" spans="1:50">
      <c r="A130" s="64" t="s">
        <v>210</v>
      </c>
      <c r="B130" s="102">
        <f>IFERROR(B126/B123,0)</f>
        <v>0.79004403199449</v>
      </c>
      <c r="C130" s="102">
        <f>IFERROR(C126/C123,0)</f>
        <v>0</v>
      </c>
      <c r="D130" s="102">
        <f>IFERROR(D126/D123,0)</f>
        <v>0</v>
      </c>
      <c r="E130" s="102">
        <f>IFERROR(E126/E123,0)</f>
        <v>0</v>
      </c>
      <c r="F130" s="102">
        <f>IFERROR(F126/F123,0)</f>
        <v>0</v>
      </c>
      <c r="G130" s="102">
        <f>IFERROR(G126/G123,0)</f>
        <v>0</v>
      </c>
      <c r="H130" s="102">
        <f>IFERROR(H126/H123,0)</f>
        <v>0</v>
      </c>
      <c r="I130" s="102">
        <f>IFERROR(I126/I123,0)</f>
        <v>0</v>
      </c>
      <c r="J130" s="102">
        <f>IFERROR(J126/J123,0)</f>
        <v>0</v>
      </c>
      <c r="K130" s="102">
        <f>IFERROR(K126/K123,0)</f>
        <v>0</v>
      </c>
      <c r="L130" s="102">
        <f>IFERROR(L126/L123,0)</f>
        <v>0</v>
      </c>
      <c r="M130" s="102">
        <f>IFERROR(M126/M123,0)</f>
        <v>0</v>
      </c>
      <c r="N130" s="103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</row>
    <row r="131" spans="1:50">
      <c r="A131" s="64" t="s">
        <v>211</v>
      </c>
      <c r="B131" s="95">
        <f>IFERROR(B127/B124,0)</f>
        <v>0.68038507821901</v>
      </c>
      <c r="C131" s="95">
        <f>IFERROR(C127/C124,0)</f>
        <v>0</v>
      </c>
      <c r="D131" s="95">
        <f>IFERROR(D127/D124,0)</f>
        <v>0</v>
      </c>
      <c r="E131" s="95">
        <f>IFERROR(E127/E124,0)</f>
        <v>0</v>
      </c>
      <c r="F131" s="95">
        <f>IFERROR(F127/F124,0)</f>
        <v>0</v>
      </c>
      <c r="G131" s="95">
        <f>IFERROR(G127/G124,0)</f>
        <v>0</v>
      </c>
      <c r="H131" s="95">
        <f>IFERROR(H127/H124,0)</f>
        <v>0</v>
      </c>
      <c r="I131" s="95">
        <f>IFERROR(I127/I124,0)</f>
        <v>0</v>
      </c>
      <c r="J131" s="95">
        <f>IFERROR(J127/J124,0)</f>
        <v>0</v>
      </c>
      <c r="K131" s="95">
        <f>IFERROR(K127/K124,0)</f>
        <v>0</v>
      </c>
      <c r="L131" s="95">
        <f>IFERROR(L127/L124,0)</f>
        <v>0</v>
      </c>
      <c r="M131" s="95">
        <f>IFERROR(M127/M124,0)</f>
        <v>0</v>
      </c>
      <c r="N131" s="104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</row>
    <row r="132" spans="1:50">
      <c r="I132" s="70"/>
      <c r="M132" s="70"/>
      <c r="N132" s="73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</row>
    <row r="133" spans="1:50">
      <c r="A133" s="76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105"/>
      <c r="N133" s="74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</row>
    <row r="134" spans="1:50">
      <c r="A134" s="87" t="s">
        <v>250</v>
      </c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107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</row>
    <row r="135" spans="1:50">
      <c r="B135" s="70"/>
      <c r="C135" s="70"/>
      <c r="D135" s="70"/>
      <c r="E135" s="70"/>
      <c r="F135" s="70"/>
      <c r="G135" s="70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</row>
    <row r="136" spans="1:50">
      <c r="B136" s="70"/>
      <c r="C136" s="70"/>
      <c r="D136" s="70"/>
      <c r="E136" s="70"/>
      <c r="F136" s="70"/>
      <c r="G136" s="70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</row>
    <row r="137" spans="1:50">
      <c r="A137" s="76"/>
      <c r="B137" s="70"/>
      <c r="C137" s="70"/>
      <c r="D137" s="70"/>
      <c r="E137" s="70"/>
      <c r="F137" s="70"/>
      <c r="G137" s="70"/>
      <c r="H137" s="97"/>
      <c r="I137" s="97"/>
      <c r="J137" s="97"/>
      <c r="K137" s="97"/>
      <c r="L137" s="97"/>
      <c r="M137" s="97"/>
      <c r="N137" s="74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</row>
    <row r="138" spans="1:50">
      <c r="B138" s="70"/>
      <c r="C138" s="70"/>
      <c r="D138" s="70"/>
      <c r="E138" s="70"/>
      <c r="F138" s="70"/>
      <c r="G138" s="70"/>
      <c r="P138" s="61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</row>
    <row r="139" spans="1:50">
      <c r="B139" s="70"/>
      <c r="C139" s="70"/>
      <c r="D139" s="70"/>
      <c r="E139" s="70"/>
      <c r="F139" s="70"/>
      <c r="G139" s="70"/>
      <c r="P139" s="61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</row>
    <row r="140" spans="1:50" customHeight="1" ht="18">
      <c r="A140" s="48"/>
      <c r="B140" s="89"/>
      <c r="P140" s="61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</row>
    <row r="141" spans="1:50" customHeight="1" ht="18">
      <c r="A141" s="48" t="s">
        <v>251</v>
      </c>
      <c r="B141" s="100" t="s">
        <v>200</v>
      </c>
      <c r="C141" s="55" t="s">
        <v>201</v>
      </c>
      <c r="D141" s="55" t="s">
        <v>202</v>
      </c>
      <c r="E141" s="55" t="s">
        <v>203</v>
      </c>
      <c r="F141" s="55" t="s">
        <v>202</v>
      </c>
      <c r="G141" s="55" t="s">
        <v>204</v>
      </c>
      <c r="H141" s="55" t="s">
        <v>204</v>
      </c>
      <c r="I141" s="55" t="s">
        <v>203</v>
      </c>
      <c r="J141" s="55" t="s">
        <v>205</v>
      </c>
      <c r="K141" s="55" t="s">
        <v>206</v>
      </c>
      <c r="L141" s="55" t="s">
        <v>207</v>
      </c>
      <c r="M141" s="55" t="s">
        <v>208</v>
      </c>
      <c r="N141" s="64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</row>
    <row r="142" spans="1:50" customHeight="1" ht="15.5">
      <c r="A142" s="64" t="s">
        <v>252</v>
      </c>
      <c r="B142" s="108">
        <v>20.2248</v>
      </c>
      <c r="C142" s="108"/>
      <c r="D142" s="108"/>
      <c r="E142" s="109"/>
      <c r="F142" s="109"/>
      <c r="G142" s="109"/>
      <c r="H142" s="109"/>
      <c r="I142" s="109"/>
      <c r="J142" s="109"/>
      <c r="K142" s="109"/>
      <c r="L142" s="109"/>
      <c r="M142" s="109"/>
      <c r="N142" s="110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</row>
    <row r="143" spans="1:50" customHeight="1" ht="15.5">
      <c r="A143" s="76" t="s">
        <v>253</v>
      </c>
      <c r="B143" s="108">
        <v>20.22</v>
      </c>
      <c r="C143" s="108">
        <v>20.94</v>
      </c>
      <c r="D143" s="108">
        <v>20.44</v>
      </c>
      <c r="E143" s="108">
        <v>20.8</v>
      </c>
      <c r="F143" s="108">
        <v>21.4</v>
      </c>
      <c r="G143" s="108">
        <v>21</v>
      </c>
      <c r="H143" s="108">
        <v>20.75</v>
      </c>
      <c r="I143" s="108">
        <v>20.6</v>
      </c>
      <c r="J143" s="108">
        <v>20.8</v>
      </c>
      <c r="K143" s="108">
        <v>21</v>
      </c>
      <c r="L143" s="108">
        <v>21.11</v>
      </c>
      <c r="M143" s="108">
        <v>21.27</v>
      </c>
      <c r="N143" s="110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</row>
    <row r="144" spans="1:50" customHeight="1" ht="15.5">
      <c r="A144" s="64" t="s">
        <v>23</v>
      </c>
      <c r="B144" s="108">
        <v>18.9082</v>
      </c>
      <c r="C144" s="109">
        <v>19.776</v>
      </c>
      <c r="D144" s="108">
        <v>23.4847</v>
      </c>
      <c r="E144" s="108">
        <v>23.9283</v>
      </c>
      <c r="F144" s="108">
        <v>22.1778</v>
      </c>
      <c r="G144" s="108">
        <v>23.0893</v>
      </c>
      <c r="H144" s="108">
        <v>22.2012</v>
      </c>
      <c r="I144" s="108">
        <v>21.888</v>
      </c>
      <c r="J144" s="108">
        <v>22.1438</v>
      </c>
      <c r="K144" s="108">
        <v>21.2508</v>
      </c>
      <c r="L144" s="108">
        <v>20.1398</v>
      </c>
      <c r="M144" s="108">
        <v>19.9087</v>
      </c>
      <c r="N144" s="110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</row>
    <row r="145" spans="1:50" customHeight="1" ht="15.5">
      <c r="A145" s="64" t="s">
        <v>254</v>
      </c>
      <c r="B145" s="110"/>
      <c r="C145" s="110"/>
      <c r="D145" s="111"/>
      <c r="E145" s="111"/>
      <c r="F145" s="112"/>
      <c r="G145" s="112"/>
      <c r="H145" s="112"/>
      <c r="I145" s="112"/>
      <c r="J145" s="112"/>
      <c r="K145" s="112"/>
      <c r="L145" s="113"/>
      <c r="M145" s="112"/>
      <c r="N145" s="110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</row>
    <row r="146" spans="1:50" customHeight="1" ht="15.5">
      <c r="B146" s="110"/>
      <c r="C146" s="110"/>
      <c r="D146" s="111"/>
      <c r="E146" s="111"/>
      <c r="F146" s="112"/>
      <c r="G146" s="112"/>
      <c r="H146" s="112"/>
      <c r="I146" s="112"/>
      <c r="J146" s="112"/>
      <c r="K146" s="112"/>
      <c r="L146" s="113"/>
      <c r="M146" s="112"/>
      <c r="N146" s="110"/>
      <c r="O146" s="64"/>
      <c r="P146" s="50"/>
      <c r="Q146" s="64"/>
      <c r="R146" s="64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</row>
    <row r="147" spans="1:50" customHeight="1" ht="15.5">
      <c r="A147" s="72" t="s">
        <v>255</v>
      </c>
      <c r="B147" s="110"/>
      <c r="C147" s="110"/>
      <c r="D147" s="114"/>
      <c r="E147" s="64"/>
      <c r="F147" s="64"/>
      <c r="G147" s="64"/>
      <c r="H147" s="64"/>
      <c r="I147" s="64"/>
      <c r="J147" s="64"/>
      <c r="K147" s="64"/>
      <c r="L147" s="64"/>
      <c r="M147" s="64"/>
      <c r="N147" s="110"/>
      <c r="O147" s="64"/>
      <c r="P147" s="50"/>
      <c r="Q147" s="64"/>
      <c r="R147" s="64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</row>
    <row r="148" spans="1:50" customHeight="1" ht="18">
      <c r="A148" s="54">
        <v>0</v>
      </c>
      <c r="B148" s="100" t="s">
        <v>200</v>
      </c>
      <c r="C148" s="100" t="s">
        <v>201</v>
      </c>
      <c r="D148" s="100" t="s">
        <v>202</v>
      </c>
      <c r="E148" s="55" t="s">
        <v>203</v>
      </c>
      <c r="F148" s="100" t="s">
        <v>202</v>
      </c>
      <c r="G148" s="100" t="s">
        <v>204</v>
      </c>
      <c r="H148" s="100" t="s">
        <v>204</v>
      </c>
      <c r="I148" s="100" t="s">
        <v>203</v>
      </c>
      <c r="J148" s="55" t="s">
        <v>205</v>
      </c>
      <c r="K148" s="55" t="s">
        <v>206</v>
      </c>
      <c r="L148" s="55" t="s">
        <v>207</v>
      </c>
      <c r="M148" s="55" t="s">
        <v>208</v>
      </c>
      <c r="N148" s="56" t="s">
        <v>233</v>
      </c>
      <c r="O148" s="64"/>
      <c r="P148" s="50"/>
      <c r="Q148" s="64"/>
      <c r="R148" s="64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</row>
    <row r="149" spans="1:50" customHeight="1" ht="18">
      <c r="A149" s="50" t="str">
        <f>A4</f>
        <v>Vtas. 21</v>
      </c>
      <c r="B149" s="58">
        <f>B108*B142</f>
        <v>31876.853956344</v>
      </c>
      <c r="C149" s="58">
        <f>C108*C142</f>
        <v>0</v>
      </c>
      <c r="D149" s="58">
        <f>D108*D142</f>
        <v>0</v>
      </c>
      <c r="E149" s="58">
        <f>E108*E142</f>
        <v>0</v>
      </c>
      <c r="F149" s="58">
        <f>F108*F142</f>
        <v>0</v>
      </c>
      <c r="G149" s="58">
        <f>G108*G142</f>
        <v>0</v>
      </c>
      <c r="H149" s="58">
        <f>H108*H142</f>
        <v>0</v>
      </c>
      <c r="I149" s="58">
        <f>I108*I142</f>
        <v>0</v>
      </c>
      <c r="J149" s="58">
        <f>J108*J142</f>
        <v>0</v>
      </c>
      <c r="K149" s="58">
        <f>K108*K142</f>
        <v>0</v>
      </c>
      <c r="L149" s="58">
        <f>L108*L142</f>
        <v>0</v>
      </c>
      <c r="M149" s="58">
        <f>M108*M142</f>
        <v>0</v>
      </c>
      <c r="N149" s="59"/>
      <c r="O149" s="64"/>
      <c r="P149" s="50"/>
      <c r="Q149" s="64"/>
      <c r="R149" s="64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</row>
    <row r="150" spans="1:50" customHeight="1" ht="18">
      <c r="A150" s="116" t="str">
        <f>A5</f>
        <v>Vtas. P. 21</v>
      </c>
      <c r="B150" s="60">
        <f>B109*B145</f>
        <v>0</v>
      </c>
      <c r="C150" s="60">
        <f>C109*C145</f>
        <v>0</v>
      </c>
      <c r="D150" s="60">
        <f>D109*D145</f>
        <v>0</v>
      </c>
      <c r="E150" s="60">
        <f>E109*E145</f>
        <v>0</v>
      </c>
      <c r="F150" s="60">
        <f>F109*F145</f>
        <v>0</v>
      </c>
      <c r="G150" s="60">
        <f>G109*G145</f>
        <v>0</v>
      </c>
      <c r="H150" s="60">
        <f>H109*H143</f>
        <v>0</v>
      </c>
      <c r="I150" s="60">
        <f>I109*I143</f>
        <v>0</v>
      </c>
      <c r="J150" s="60">
        <f>J109*J143</f>
        <v>0</v>
      </c>
      <c r="K150" s="60">
        <f>K109*K143</f>
        <v>0</v>
      </c>
      <c r="L150" s="60">
        <f>L109*L143</f>
        <v>0</v>
      </c>
      <c r="M150" s="60">
        <f>M109*M143</f>
        <v>0</v>
      </c>
      <c r="N150" s="59"/>
      <c r="O150" s="64"/>
      <c r="P150" s="50"/>
      <c r="Q150" s="64"/>
      <c r="R150" s="64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</row>
    <row r="151" spans="1:50" customHeight="1" ht="18">
      <c r="A151" s="50" t="str">
        <f>A6</f>
        <v>Vtas. 20</v>
      </c>
      <c r="B151" s="60">
        <f>B110*B144</f>
        <v>25469.501203568</v>
      </c>
      <c r="C151" s="60">
        <f>C110*C144</f>
        <v>0</v>
      </c>
      <c r="D151" s="60">
        <f>D110*D144</f>
        <v>0</v>
      </c>
      <c r="E151" s="60">
        <f>E110*E144</f>
        <v>0</v>
      </c>
      <c r="F151" s="60">
        <f>F144*F110</f>
        <v>0</v>
      </c>
      <c r="G151" s="60">
        <f>G144*G110</f>
        <v>0</v>
      </c>
      <c r="H151" s="60">
        <f>H144*H110</f>
        <v>0</v>
      </c>
      <c r="I151" s="60">
        <f>I144*I110</f>
        <v>0</v>
      </c>
      <c r="J151" s="60">
        <f>J144*J110</f>
        <v>0</v>
      </c>
      <c r="K151" s="60">
        <f>K144*K110</f>
        <v>0</v>
      </c>
      <c r="L151" s="60">
        <f>L144*L110</f>
        <v>0</v>
      </c>
      <c r="M151" s="60">
        <f>M144*M110</f>
        <v>0</v>
      </c>
      <c r="N151" s="59"/>
      <c r="O151" s="64"/>
      <c r="P151" s="50"/>
      <c r="Q151" s="64"/>
      <c r="R151" s="64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</row>
    <row r="152" spans="1:50" customHeight="1" ht="18">
      <c r="A152" s="50" t="str">
        <f>A7</f>
        <v>UAFIR FL. 21</v>
      </c>
      <c r="B152" s="60">
        <f>B111*B142</f>
        <v>2178.440309232</v>
      </c>
      <c r="C152" s="60">
        <f>C111*C142</f>
        <v>0</v>
      </c>
      <c r="D152" s="60">
        <f>D111*D142</f>
        <v>0</v>
      </c>
      <c r="E152" s="60">
        <f>E111*E142</f>
        <v>0</v>
      </c>
      <c r="F152" s="60">
        <f>F111*F142</f>
        <v>0</v>
      </c>
      <c r="G152" s="60">
        <f>G111*G142</f>
        <v>0</v>
      </c>
      <c r="H152" s="60">
        <f>H111*H142</f>
        <v>0</v>
      </c>
      <c r="I152" s="60">
        <f>I111*I142</f>
        <v>0</v>
      </c>
      <c r="J152" s="60">
        <f>J111*J142</f>
        <v>0</v>
      </c>
      <c r="K152" s="60">
        <f>K111*K142</f>
        <v>0</v>
      </c>
      <c r="L152" s="60">
        <f>L111*L142</f>
        <v>0</v>
      </c>
      <c r="M152" s="60">
        <f>M111*M142</f>
        <v>0</v>
      </c>
      <c r="N152" s="59"/>
      <c r="O152" s="64"/>
      <c r="P152" s="50"/>
      <c r="Q152" s="64"/>
      <c r="R152" s="64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</row>
    <row r="153" spans="1:50" customHeight="1" ht="18">
      <c r="A153" s="50" t="str">
        <f>A8</f>
        <v>UAFIRFL.P.21</v>
      </c>
      <c r="B153" s="60">
        <f>B112*B143</f>
        <v>-660.97158</v>
      </c>
      <c r="C153" s="60">
        <f>C112*C143</f>
        <v>0</v>
      </c>
      <c r="D153" s="60">
        <f>D112*D143</f>
        <v>0</v>
      </c>
      <c r="E153" s="60">
        <f>E112*E143</f>
        <v>0</v>
      </c>
      <c r="F153" s="60">
        <f>F112*F143</f>
        <v>0</v>
      </c>
      <c r="G153" s="60">
        <f>G112*G143</f>
        <v>0</v>
      </c>
      <c r="H153" s="60">
        <f>H112*H143</f>
        <v>0</v>
      </c>
      <c r="I153" s="60">
        <f>I112*I143</f>
        <v>0</v>
      </c>
      <c r="J153" s="60">
        <f>J112*J143</f>
        <v>0</v>
      </c>
      <c r="K153" s="60">
        <f>K112*K143</f>
        <v>0</v>
      </c>
      <c r="L153" s="60">
        <f>L112*L143</f>
        <v>0</v>
      </c>
      <c r="M153" s="60">
        <f>M112*M143</f>
        <v>0</v>
      </c>
      <c r="N153" s="59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</row>
    <row r="154" spans="1:50" customHeight="1" ht="18">
      <c r="A154" s="50" t="str">
        <f>A9</f>
        <v>S. Deuda 21</v>
      </c>
      <c r="B154" s="60">
        <f>B113*B142</f>
        <v>0</v>
      </c>
      <c r="C154" s="60">
        <f>C113*C142</f>
        <v>0</v>
      </c>
      <c r="D154" s="60">
        <f>D113*D142</f>
        <v>0</v>
      </c>
      <c r="E154" s="60">
        <f>E113*E142</f>
        <v>0</v>
      </c>
      <c r="F154" s="60">
        <f>F113*F142</f>
        <v>0</v>
      </c>
      <c r="G154" s="60">
        <f>G113*G142</f>
        <v>0</v>
      </c>
      <c r="H154" s="60">
        <f>H113*H142</f>
        <v>0</v>
      </c>
      <c r="I154" s="60">
        <f>I113*I142</f>
        <v>0</v>
      </c>
      <c r="J154" s="60">
        <f>J113*J142</f>
        <v>0</v>
      </c>
      <c r="K154" s="60">
        <f>K113*K142</f>
        <v>0</v>
      </c>
      <c r="L154" s="60">
        <f>L113*L142</f>
        <v>0</v>
      </c>
      <c r="M154" s="60">
        <f>M113*M142</f>
        <v>0</v>
      </c>
      <c r="N154" s="59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</row>
    <row r="155" spans="1:50" customHeight="1" ht="18">
      <c r="A155" s="50" t="str">
        <f>A10</f>
        <v>Pagos Ext.</v>
      </c>
      <c r="B155" s="60">
        <f>B114*B142</f>
        <v>0</v>
      </c>
      <c r="C155" s="60">
        <f>C114*C142</f>
        <v>0</v>
      </c>
      <c r="D155" s="60">
        <f>D114*D142</f>
        <v>0</v>
      </c>
      <c r="E155" s="60">
        <f>E114*E142</f>
        <v>0</v>
      </c>
      <c r="F155" s="60">
        <f>F114*F142</f>
        <v>0</v>
      </c>
      <c r="G155" s="60">
        <f>G114*G142</f>
        <v>0</v>
      </c>
      <c r="H155" s="60">
        <f>H114*H142</f>
        <v>0</v>
      </c>
      <c r="I155" s="60">
        <f>I114*I142</f>
        <v>0</v>
      </c>
      <c r="J155" s="60">
        <f>J114*J142</f>
        <v>0</v>
      </c>
      <c r="K155" s="60">
        <f>K114*K142</f>
        <v>0</v>
      </c>
      <c r="L155" s="60">
        <f>L114*L142</f>
        <v>0</v>
      </c>
      <c r="M155" s="60">
        <f>M114*M142</f>
        <v>0</v>
      </c>
      <c r="N155" s="59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</row>
    <row r="156" spans="1:50">
      <c r="A156" s="64" t="s">
        <v>210</v>
      </c>
      <c r="B156" s="65">
        <f>IFERROR(B152/B149,0)</f>
        <v>0.06833925054886</v>
      </c>
      <c r="C156" s="65">
        <f>IFERROR(C152/C149,0)</f>
        <v>0</v>
      </c>
      <c r="D156" s="65">
        <f>IFERROR(D152/D149,0)</f>
        <v>0</v>
      </c>
      <c r="E156" s="65">
        <f>IFERROR(E152/E149,0)</f>
        <v>0</v>
      </c>
      <c r="F156" s="65">
        <f>IFERROR(F152/F149,0)</f>
        <v>0</v>
      </c>
      <c r="G156" s="65">
        <f>IFERROR(G152/G149,0)</f>
        <v>0</v>
      </c>
      <c r="H156" s="65">
        <f>IFERROR(H152/H149,0)</f>
        <v>0</v>
      </c>
      <c r="I156" s="65">
        <f>IFERROR(I152/I149,0)</f>
        <v>0</v>
      </c>
      <c r="J156" s="65">
        <f>IFERROR(J152/J149,0)</f>
        <v>0</v>
      </c>
      <c r="K156" s="65">
        <f>IFERROR(K152/K149,0)</f>
        <v>0</v>
      </c>
      <c r="L156" s="65">
        <f>IFERROR(L152/L149,0)</f>
        <v>0</v>
      </c>
      <c r="M156" s="65">
        <f>IFERROR(M152/M149,0)</f>
        <v>0</v>
      </c>
      <c r="N156" s="66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</row>
    <row r="157" spans="1:50">
      <c r="A157" s="64" t="s">
        <v>211</v>
      </c>
      <c r="B157" s="95">
        <f>IFERROR(B153/B150,0)</f>
        <v>0</v>
      </c>
      <c r="C157" s="95">
        <f>IFERROR(C153/C150,0)</f>
        <v>0</v>
      </c>
      <c r="D157" s="95">
        <f>IFERROR(D153/D150,0)</f>
        <v>0</v>
      </c>
      <c r="E157" s="95">
        <f>IFERROR(E153/E150,0)</f>
        <v>0</v>
      </c>
      <c r="F157" s="95">
        <f>IFERROR(F153/F150,0)</f>
        <v>0</v>
      </c>
      <c r="G157" s="95">
        <f>IFERROR(G153/G150,0)</f>
        <v>0</v>
      </c>
      <c r="H157" s="95">
        <f>IFERROR(H153/H150,0)</f>
        <v>0</v>
      </c>
      <c r="I157" s="95">
        <f>IFERROR(I153/I150,0)</f>
        <v>0</v>
      </c>
      <c r="J157" s="95">
        <f>IFERROR(J153/J150,0)</f>
        <v>0</v>
      </c>
      <c r="K157" s="95">
        <f>IFERROR(K153/K150,0)</f>
        <v>0</v>
      </c>
      <c r="L157" s="95">
        <f>IFERROR(L153/L150,0)</f>
        <v>0</v>
      </c>
      <c r="M157" s="95">
        <f>IFERROR(M153/M150,0)</f>
        <v>0</v>
      </c>
      <c r="N157" s="96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</row>
    <row r="158" spans="1:50">
      <c r="L158" s="70"/>
      <c r="M158" s="70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</row>
    <row r="159" spans="1:50" customHeight="1" ht="15.5">
      <c r="A159" s="72" t="s">
        <v>256</v>
      </c>
      <c r="B159" s="110"/>
      <c r="C159" s="110"/>
      <c r="D159" s="114"/>
      <c r="E159" s="64"/>
      <c r="F159" s="64"/>
      <c r="G159" s="64"/>
      <c r="H159" s="64"/>
      <c r="I159" s="64"/>
      <c r="J159" s="64"/>
      <c r="K159" s="64"/>
      <c r="L159" s="64"/>
      <c r="M159" s="64"/>
      <c r="N159" s="110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</row>
    <row r="160" spans="1:50" customHeight="1" ht="18">
      <c r="A160" s="54">
        <v>0</v>
      </c>
      <c r="B160" s="100" t="s">
        <v>200</v>
      </c>
      <c r="C160" s="100" t="s">
        <v>201</v>
      </c>
      <c r="D160" s="100" t="s">
        <v>202</v>
      </c>
      <c r="E160" s="55" t="s">
        <v>203</v>
      </c>
      <c r="F160" s="100" t="s">
        <v>202</v>
      </c>
      <c r="G160" s="100" t="s">
        <v>204</v>
      </c>
      <c r="H160" s="100" t="s">
        <v>204</v>
      </c>
      <c r="I160" s="100" t="s">
        <v>203</v>
      </c>
      <c r="J160" s="55" t="s">
        <v>205</v>
      </c>
      <c r="K160" s="55" t="s">
        <v>206</v>
      </c>
      <c r="L160" s="55" t="s">
        <v>207</v>
      </c>
      <c r="M160" s="55" t="s">
        <v>208</v>
      </c>
      <c r="N160" s="56" t="s">
        <v>233</v>
      </c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</row>
    <row r="161" spans="1:50" customHeight="1" ht="18">
      <c r="A161" s="50" t="str">
        <f>A4</f>
        <v>Vtas. 21</v>
      </c>
      <c r="B161" s="58">
        <f>B123*B142</f>
        <v>2085.131576448</v>
      </c>
      <c r="C161" s="58">
        <f>C123*C142</f>
        <v>0</v>
      </c>
      <c r="D161" s="58">
        <f>D123*D142</f>
        <v>0</v>
      </c>
      <c r="E161" s="58">
        <f>E123*E142</f>
        <v>0</v>
      </c>
      <c r="F161" s="58">
        <f>F123*F142</f>
        <v>0</v>
      </c>
      <c r="G161" s="58">
        <f>G123*G142</f>
        <v>0</v>
      </c>
      <c r="H161" s="58">
        <f>H123*H142</f>
        <v>0</v>
      </c>
      <c r="I161" s="58">
        <f>I123*I142</f>
        <v>0</v>
      </c>
      <c r="J161" s="58">
        <f>J123*J142</f>
        <v>0</v>
      </c>
      <c r="K161" s="58">
        <f>K123*K142</f>
        <v>0</v>
      </c>
      <c r="L161" s="58">
        <f>L123*L142</f>
        <v>0</v>
      </c>
      <c r="M161" s="58">
        <f>M123*M142</f>
        <v>0</v>
      </c>
      <c r="N161" s="59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</row>
    <row r="162" spans="1:50" customHeight="1" ht="18">
      <c r="A162" s="50" t="str">
        <f>A5</f>
        <v>Vtas. P. 21</v>
      </c>
      <c r="B162" s="60">
        <f>B124*B145</f>
        <v>0</v>
      </c>
      <c r="C162" s="60">
        <f>C124*C145</f>
        <v>0</v>
      </c>
      <c r="D162" s="60">
        <f>D124*D145</f>
        <v>0</v>
      </c>
      <c r="E162" s="60">
        <f>E124*E145</f>
        <v>0</v>
      </c>
      <c r="F162" s="60">
        <f>F124*F145</f>
        <v>0</v>
      </c>
      <c r="G162" s="60">
        <f>G124*G145</f>
        <v>0</v>
      </c>
      <c r="H162" s="60">
        <f>H124*H143</f>
        <v>0</v>
      </c>
      <c r="I162" s="60">
        <f>I124*I143</f>
        <v>0</v>
      </c>
      <c r="J162" s="60">
        <f>J124*J143</f>
        <v>0</v>
      </c>
      <c r="K162" s="60">
        <f>K124*K143</f>
        <v>0</v>
      </c>
      <c r="L162" s="60">
        <f>L124*L143</f>
        <v>0</v>
      </c>
      <c r="M162" s="60">
        <f>M124*M143</f>
        <v>0</v>
      </c>
      <c r="N162" s="59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</row>
    <row r="163" spans="1:50" customHeight="1" ht="18">
      <c r="A163" s="50" t="str">
        <f>A6</f>
        <v>Vtas. 20</v>
      </c>
      <c r="B163" s="60">
        <f>B144*B125</f>
        <v>2491.172556462</v>
      </c>
      <c r="C163" s="60">
        <f>C144*C125</f>
        <v>0</v>
      </c>
      <c r="D163" s="60">
        <f>D144*D125</f>
        <v>0</v>
      </c>
      <c r="E163" s="60">
        <f>E144*E125</f>
        <v>0</v>
      </c>
      <c r="F163" s="60">
        <f>F144*F125</f>
        <v>0</v>
      </c>
      <c r="G163" s="60">
        <f>G144*G125</f>
        <v>0</v>
      </c>
      <c r="H163" s="60">
        <f>H144*H125</f>
        <v>0</v>
      </c>
      <c r="I163" s="60">
        <f>I144*I125</f>
        <v>0</v>
      </c>
      <c r="J163" s="60">
        <f>J144*J125</f>
        <v>0</v>
      </c>
      <c r="K163" s="60">
        <f>K144*K125</f>
        <v>0</v>
      </c>
      <c r="L163" s="60">
        <f>L144*L125</f>
        <v>0</v>
      </c>
      <c r="M163" s="60">
        <f>M144*M125</f>
        <v>0</v>
      </c>
      <c r="N163" s="59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</row>
    <row r="164" spans="1:50" customHeight="1" ht="18">
      <c r="A164" s="50" t="str">
        <f>A7</f>
        <v>UAFIR FL. 21</v>
      </c>
      <c r="B164" s="60">
        <f>B126*B142</f>
        <v>1647.345757896</v>
      </c>
      <c r="C164" s="60">
        <f>C126*C142</f>
        <v>0</v>
      </c>
      <c r="D164" s="60">
        <f>D126*D142</f>
        <v>0</v>
      </c>
      <c r="E164" s="60">
        <f>E126*E142</f>
        <v>0</v>
      </c>
      <c r="F164" s="60">
        <f>F126*F142</f>
        <v>0</v>
      </c>
      <c r="G164" s="60">
        <f>G126*G142</f>
        <v>0</v>
      </c>
      <c r="H164" s="60">
        <f>H126*H142</f>
        <v>0</v>
      </c>
      <c r="I164" s="60">
        <f>I126*I142</f>
        <v>0</v>
      </c>
      <c r="J164" s="60">
        <f>J126*J142</f>
        <v>0</v>
      </c>
      <c r="K164" s="60">
        <f>K126*K142</f>
        <v>0</v>
      </c>
      <c r="L164" s="60">
        <f>L126*L142</f>
        <v>0</v>
      </c>
      <c r="M164" s="60">
        <f>M126*M142</f>
        <v>0</v>
      </c>
      <c r="N164" s="59"/>
      <c r="O164" s="64"/>
      <c r="P164" s="50"/>
      <c r="Q164" s="64"/>
      <c r="R164" s="64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</row>
    <row r="165" spans="1:50" customHeight="1" ht="18">
      <c r="A165" s="50" t="str">
        <f>A8</f>
        <v>UAFIRFL.P.21</v>
      </c>
      <c r="B165" s="117">
        <f>B127*B143</f>
        <v>1429.0485</v>
      </c>
      <c r="C165" s="117">
        <f>C127*C143</f>
        <v>0</v>
      </c>
      <c r="D165" s="117">
        <f>D127*D143</f>
        <v>0</v>
      </c>
      <c r="E165" s="117">
        <f>E127*E143</f>
        <v>0</v>
      </c>
      <c r="F165" s="117">
        <f>F127*F143</f>
        <v>0</v>
      </c>
      <c r="G165" s="117">
        <f>G127*G143</f>
        <v>0</v>
      </c>
      <c r="H165" s="117">
        <f>H127*H143</f>
        <v>0</v>
      </c>
      <c r="I165" s="117">
        <f>I127*I143</f>
        <v>0</v>
      </c>
      <c r="J165" s="117">
        <f>J127*J143</f>
        <v>0</v>
      </c>
      <c r="K165" s="117">
        <f>K127*K143</f>
        <v>0</v>
      </c>
      <c r="L165" s="117">
        <f>L127*L143</f>
        <v>0</v>
      </c>
      <c r="M165" s="117">
        <f>M127*M143</f>
        <v>0</v>
      </c>
      <c r="N165" s="59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</row>
    <row r="166" spans="1:50" customHeight="1" ht="18">
      <c r="A166" s="50" t="str">
        <f>A9</f>
        <v>S. Deuda 21</v>
      </c>
      <c r="B166" s="60">
        <f>B128*B142</f>
        <v>0</v>
      </c>
      <c r="C166" s="60">
        <f>C128*C142</f>
        <v>0</v>
      </c>
      <c r="D166" s="60">
        <f>D128*D142</f>
        <v>0</v>
      </c>
      <c r="E166" s="60">
        <f>E128*E142</f>
        <v>0</v>
      </c>
      <c r="F166" s="60">
        <f>F128*F142</f>
        <v>0</v>
      </c>
      <c r="G166" s="60">
        <f>G128*G142</f>
        <v>0</v>
      </c>
      <c r="H166" s="60">
        <f>H128*H142</f>
        <v>0</v>
      </c>
      <c r="I166" s="60">
        <f>I128*I142</f>
        <v>0</v>
      </c>
      <c r="J166" s="60">
        <f>J128*J142</f>
        <v>0</v>
      </c>
      <c r="K166" s="60">
        <f>K128*K142</f>
        <v>0</v>
      </c>
      <c r="L166" s="60">
        <f>L128*L142</f>
        <v>0</v>
      </c>
      <c r="M166" s="60">
        <f>M128*M142</f>
        <v>0</v>
      </c>
      <c r="N166" s="59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</row>
    <row r="167" spans="1:50" customHeight="1" ht="18">
      <c r="A167" s="50" t="str">
        <f>A10</f>
        <v>Pagos Ext.</v>
      </c>
      <c r="B167" s="60">
        <f>B129*B142</f>
        <v>0</v>
      </c>
      <c r="C167" s="60">
        <f>C129*C142</f>
        <v>0</v>
      </c>
      <c r="D167" s="60">
        <f>D129*D142</f>
        <v>0</v>
      </c>
      <c r="E167" s="60">
        <f>E129*E142</f>
        <v>0</v>
      </c>
      <c r="F167" s="60">
        <f>F129*F142</f>
        <v>0</v>
      </c>
      <c r="G167" s="60">
        <f>G129*G142</f>
        <v>0</v>
      </c>
      <c r="H167" s="60">
        <f>H129*H142</f>
        <v>0</v>
      </c>
      <c r="I167" s="60">
        <f>I129*I142</f>
        <v>0</v>
      </c>
      <c r="J167" s="60">
        <f>J129*J142</f>
        <v>0</v>
      </c>
      <c r="K167" s="60">
        <f>K129*K142</f>
        <v>0</v>
      </c>
      <c r="L167" s="60">
        <f>L129*L142</f>
        <v>0</v>
      </c>
      <c r="M167" s="60">
        <f>M129*M142</f>
        <v>0</v>
      </c>
      <c r="N167" s="59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</row>
    <row r="168" spans="1:50">
      <c r="A168" s="64" t="str">
        <f>A156</f>
        <v>UAFIR FL./V.R.</v>
      </c>
      <c r="B168" s="65">
        <f>IFERROR(B164/B161,0)</f>
        <v>0.79004403199449</v>
      </c>
      <c r="C168" s="65">
        <f>IFERROR(C164/C161,0)</f>
        <v>0</v>
      </c>
      <c r="D168" s="65">
        <f>IFERROR(D164/D161,0)</f>
        <v>0</v>
      </c>
      <c r="E168" s="65">
        <f>IFERROR(E164/E161,0)</f>
        <v>0</v>
      </c>
      <c r="F168" s="65">
        <f>IFERROR(F164/F161,0)</f>
        <v>0</v>
      </c>
      <c r="G168" s="65">
        <f>IFERROR(G164/G161,0)</f>
        <v>0</v>
      </c>
      <c r="H168" s="65">
        <f>IFERROR(H164/H161,0)</f>
        <v>0</v>
      </c>
      <c r="I168" s="65">
        <f>IFERROR(I164/I161,0)</f>
        <v>0</v>
      </c>
      <c r="J168" s="65">
        <f>IFERROR(J164/J161,0)</f>
        <v>0</v>
      </c>
      <c r="K168" s="65">
        <f>IFERROR(K164/K161,0)</f>
        <v>0</v>
      </c>
      <c r="L168" s="65">
        <f>IFERROR(L164/L161,0)</f>
        <v>0</v>
      </c>
      <c r="M168" s="65">
        <f>IFERROR(M164/M161,0)</f>
        <v>0</v>
      </c>
      <c r="N168" s="66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</row>
    <row r="169" spans="1:50">
      <c r="A169" s="64" t="str">
        <f>A157</f>
        <v>UAFIR FL./V.P.</v>
      </c>
      <c r="B169" s="95">
        <f>IFERROR(B165/B162,0)</f>
        <v>0</v>
      </c>
      <c r="C169" s="95">
        <f>IFERROR(C165/C162,0)</f>
        <v>0</v>
      </c>
      <c r="D169" s="95">
        <f>IFERROR(D165/D162,0)</f>
        <v>0</v>
      </c>
      <c r="E169" s="95">
        <f>IFERROR(E165/E162,0)</f>
        <v>0</v>
      </c>
      <c r="F169" s="95">
        <f>IFERROR(F165/F162,0)</f>
        <v>0</v>
      </c>
      <c r="G169" s="95">
        <f>IFERROR(G165/G162,0)</f>
        <v>0</v>
      </c>
      <c r="H169" s="95">
        <f>IFERROR(H165/H162,0)</f>
        <v>0</v>
      </c>
      <c r="I169" s="95">
        <f>IFERROR(I165/I162,0)</f>
        <v>0</v>
      </c>
      <c r="J169" s="95">
        <f>IFERROR(J165/J162,0)</f>
        <v>0</v>
      </c>
      <c r="K169" s="95">
        <f>IFERROR(K165/K162,0)</f>
        <v>0</v>
      </c>
      <c r="L169" s="95">
        <f>IFERROR(L165/L162,0)</f>
        <v>0</v>
      </c>
      <c r="M169" s="95">
        <f>IFERROR(M165/M162,0)</f>
        <v>0</v>
      </c>
      <c r="N169" s="96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</row>
    <row r="170" spans="1:50">
      <c r="A170" s="76"/>
      <c r="B170" s="97"/>
      <c r="C170" s="97"/>
      <c r="D170" s="97"/>
      <c r="E170" s="97"/>
      <c r="F170" s="97"/>
      <c r="H170" s="97"/>
      <c r="I170" s="97"/>
      <c r="J170" s="97"/>
      <c r="K170" s="97"/>
      <c r="L170" s="118"/>
      <c r="M170" s="97"/>
      <c r="N170" s="74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</row>
    <row r="171" spans="1:50"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</row>
    <row r="172" spans="1:50" customHeight="1" ht="18">
      <c r="A172" s="50" t="s">
        <v>257</v>
      </c>
      <c r="C172" s="51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73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</row>
    <row r="173" spans="1:50" customHeight="1" ht="18">
      <c r="A173" s="54">
        <v>0</v>
      </c>
      <c r="B173" s="55" t="s">
        <v>200</v>
      </c>
      <c r="C173" s="55" t="s">
        <v>201</v>
      </c>
      <c r="D173" s="55" t="s">
        <v>202</v>
      </c>
      <c r="E173" s="55" t="s">
        <v>203</v>
      </c>
      <c r="F173" s="55" t="s">
        <v>202</v>
      </c>
      <c r="G173" s="55" t="s">
        <v>204</v>
      </c>
      <c r="H173" s="55" t="s">
        <v>204</v>
      </c>
      <c r="I173" s="55" t="s">
        <v>203</v>
      </c>
      <c r="J173" s="55" t="s">
        <v>205</v>
      </c>
      <c r="K173" s="55" t="s">
        <v>206</v>
      </c>
      <c r="L173" s="55" t="s">
        <v>207</v>
      </c>
      <c r="M173" s="55" t="s">
        <v>208</v>
      </c>
      <c r="N173" s="56" t="s">
        <v>233</v>
      </c>
      <c r="O173" s="56" t="s">
        <v>155</v>
      </c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</row>
    <row r="174" spans="1:50" customHeight="1" ht="18">
      <c r="A174" s="50" t="str">
        <f>A4</f>
        <v>Vtas. 21</v>
      </c>
      <c r="B174" s="58">
        <f>B51+B70+B34+B90</f>
        <v>233214.941425</v>
      </c>
      <c r="C174" s="58">
        <f>C51+C70+C34+C90</f>
        <v>0</v>
      </c>
      <c r="D174" s="58">
        <f>D51+D70+D34+D90</f>
        <v>0</v>
      </c>
      <c r="E174" s="58">
        <f>E51+E70+E34+E90</f>
        <v>0</v>
      </c>
      <c r="F174" s="58">
        <f>F51+F70+F34+F90</f>
        <v>0</v>
      </c>
      <c r="G174" s="58">
        <f>G51+G70+G34+G90</f>
        <v>0</v>
      </c>
      <c r="H174" s="58">
        <f>H51+H70+H34+H90</f>
        <v>0</v>
      </c>
      <c r="I174" s="58">
        <f>I51+I70+I34+I90</f>
        <v>0</v>
      </c>
      <c r="J174" s="58">
        <f>J51+J70+J34+J90</f>
        <v>0</v>
      </c>
      <c r="K174" s="58">
        <f>K51+K70+K34+K90</f>
        <v>0</v>
      </c>
      <c r="L174" s="58">
        <f>L51+L70+L34+L90</f>
        <v>0</v>
      </c>
      <c r="M174" s="58">
        <f>M51+M70+M34+M90</f>
        <v>0</v>
      </c>
      <c r="N174" s="59"/>
      <c r="O174" s="48">
        <f>CHOOSE(MONTH(Mes_cierre),B174,C174,D174,E174,F174,G174,H174,I174,J174,K174,L174,M174)</f>
        <v>233214.941425</v>
      </c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</row>
    <row r="175" spans="1:50" customHeight="1" ht="18">
      <c r="A175" s="50" t="str">
        <f>A5</f>
        <v>Vtas. P. 21</v>
      </c>
      <c r="B175" s="60">
        <f>B52+B71+B35+B91</f>
        <v>151387.622</v>
      </c>
      <c r="C175" s="60">
        <f>C52+C71+C35+C91</f>
        <v>0</v>
      </c>
      <c r="D175" s="60">
        <f>D52+D71+D35+D91</f>
        <v>0</v>
      </c>
      <c r="E175" s="60">
        <f>E52+E71+E35+E91</f>
        <v>0</v>
      </c>
      <c r="F175" s="60">
        <f>F52+F71+F35+F91</f>
        <v>0</v>
      </c>
      <c r="G175" s="60">
        <f>G52+G71+G35+G91</f>
        <v>0</v>
      </c>
      <c r="H175" s="60">
        <f>H52+H71+H35+H91</f>
        <v>0</v>
      </c>
      <c r="I175" s="60">
        <f>I52+I71+I35+I91</f>
        <v>0</v>
      </c>
      <c r="J175" s="60">
        <f>J52+J71+J35+J91</f>
        <v>0</v>
      </c>
      <c r="K175" s="60">
        <f>K52+K71+K35+K91</f>
        <v>0</v>
      </c>
      <c r="L175" s="60">
        <f>L52+L71+L35+L91</f>
        <v>0</v>
      </c>
      <c r="M175" s="60">
        <f>M52+M71+M35+M91</f>
        <v>0</v>
      </c>
      <c r="N175" s="59"/>
      <c r="O175" s="48">
        <f>CHOOSE(MONTH(Mes_cierre),B175,C175,D175,E175,F175,G175,H175,I175,J175,K175,L175,M175)</f>
        <v>151387.622</v>
      </c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</row>
    <row r="176" spans="1:50" customHeight="1" ht="18">
      <c r="A176" s="50" t="str">
        <f>A6</f>
        <v>Vtas. 20</v>
      </c>
      <c r="B176" s="60">
        <f>B53+B72+B36+B92</f>
        <v>222831.01017</v>
      </c>
      <c r="C176" s="60">
        <f>C53+C72+C36+C92</f>
        <v>0</v>
      </c>
      <c r="D176" s="60">
        <f>D53+D72+D36+D92</f>
        <v>0</v>
      </c>
      <c r="E176" s="60">
        <f>E53+E72+E36+E92</f>
        <v>0</v>
      </c>
      <c r="F176" s="60">
        <f>F53+F72+F36+F92</f>
        <v>0</v>
      </c>
      <c r="G176" s="60">
        <f>G53+G72+G36+G92</f>
        <v>0</v>
      </c>
      <c r="H176" s="60">
        <f>H53+H72+H36+H92</f>
        <v>0</v>
      </c>
      <c r="I176" s="60">
        <f>I53+I72+I36+I92</f>
        <v>0</v>
      </c>
      <c r="J176" s="60">
        <f>J53+J72+J36+J92</f>
        <v>0</v>
      </c>
      <c r="K176" s="60">
        <f>K53+K72+K36+K92</f>
        <v>0</v>
      </c>
      <c r="L176" s="60">
        <f>L53+L72+L36+L92</f>
        <v>0</v>
      </c>
      <c r="M176" s="60">
        <f>M53+M72+M36+M92</f>
        <v>0</v>
      </c>
      <c r="N176" s="59"/>
      <c r="O176" s="48">
        <f>CHOOSE(MONTH(Mes_cierre),B176,C176,D176,E176,F176,G176,H176,I176,J176,K176,L176,M176)</f>
        <v>222831.01017</v>
      </c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</row>
    <row r="177" spans="1:50" customHeight="1" ht="18">
      <c r="A177" s="50" t="str">
        <f>A7</f>
        <v>UAFIR FL. 21</v>
      </c>
      <c r="B177" s="60">
        <f>B54+B73+B37+B93</f>
        <v>21555.76896</v>
      </c>
      <c r="C177" s="60">
        <f>C54+C73+C37+C93</f>
        <v>0</v>
      </c>
      <c r="D177" s="60">
        <f>D54+D73+D37+D93</f>
        <v>0</v>
      </c>
      <c r="E177" s="60">
        <f>E54+E73+E37+E93</f>
        <v>0</v>
      </c>
      <c r="F177" s="60">
        <f>F54+F73+F37+F93</f>
        <v>0</v>
      </c>
      <c r="G177" s="60">
        <f>G54+G73+G37+G93</f>
        <v>0</v>
      </c>
      <c r="H177" s="60">
        <f>H54+H73+H37+H93</f>
        <v>0</v>
      </c>
      <c r="I177" s="60">
        <f>I54+I73+I37+I93</f>
        <v>0</v>
      </c>
      <c r="J177" s="60">
        <f>J54+J73+J37+J93</f>
        <v>0</v>
      </c>
      <c r="K177" s="60">
        <f>K54+K73+K37+K93</f>
        <v>0</v>
      </c>
      <c r="L177" s="60">
        <f>L54+L73+L37+L93</f>
        <v>0</v>
      </c>
      <c r="M177" s="60">
        <f>M54+M73+M37+M93</f>
        <v>0</v>
      </c>
      <c r="N177" s="59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</row>
    <row r="178" spans="1:50" customHeight="1" ht="18">
      <c r="A178" s="50" t="str">
        <f>A8</f>
        <v>UAFIRFL.P.21</v>
      </c>
      <c r="B178" s="60">
        <f>B55+B74+B38+B94</f>
        <v>23096.185</v>
      </c>
      <c r="C178" s="60">
        <f>C55+C74+C38+C94</f>
        <v>0</v>
      </c>
      <c r="D178" s="60">
        <f>D55+D74+D38+D94</f>
        <v>0</v>
      </c>
      <c r="E178" s="60">
        <f>E55+E74+E38+E94</f>
        <v>0</v>
      </c>
      <c r="F178" s="60">
        <f>F55+F74+F38+F94</f>
        <v>0</v>
      </c>
      <c r="G178" s="60">
        <f>G55+G74+G38+G94</f>
        <v>0</v>
      </c>
      <c r="H178" s="60">
        <f>H55+H74+H38+H94</f>
        <v>0</v>
      </c>
      <c r="I178" s="60">
        <f>I55+I74+I38+I94</f>
        <v>0</v>
      </c>
      <c r="J178" s="60">
        <f>J55+J74+J38+J94</f>
        <v>0</v>
      </c>
      <c r="K178" s="60">
        <f>K55+K74+K38+K94</f>
        <v>0</v>
      </c>
      <c r="L178" s="60">
        <f>L55+L74+L38+L94</f>
        <v>0</v>
      </c>
      <c r="M178" s="60">
        <f>M55+M74+M38+M94</f>
        <v>0</v>
      </c>
      <c r="N178" s="59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</row>
    <row r="179" spans="1:50" customHeight="1" ht="18">
      <c r="A179" s="50" t="str">
        <f>A9</f>
        <v>S. Deuda 21</v>
      </c>
      <c r="B179" s="60">
        <f>B56+B75+B39+B95+B19</f>
        <v>0</v>
      </c>
      <c r="C179" s="60">
        <f>C56+C75+C39+C95+C19</f>
        <v>0</v>
      </c>
      <c r="D179" s="60">
        <f>D56+D75+D39+D95+D19</f>
        <v>0</v>
      </c>
      <c r="E179" s="60">
        <f>E56+E75+E39+E95+E19</f>
        <v>0</v>
      </c>
      <c r="F179" s="60">
        <f>F56+F75+F39+F95+F19</f>
        <v>0</v>
      </c>
      <c r="G179" s="60">
        <f>G56+G75+G39+G95+G19</f>
        <v>0</v>
      </c>
      <c r="H179" s="60">
        <f>H56+H75+H39+H95+H19</f>
        <v>0</v>
      </c>
      <c r="I179" s="60">
        <f>I56+I75+I39+I95+I19</f>
        <v>0</v>
      </c>
      <c r="J179" s="60">
        <f>J56+J75+J39+J95+J19</f>
        <v>0</v>
      </c>
      <c r="K179" s="60">
        <f>K56+K75+K39+K95+K19</f>
        <v>0</v>
      </c>
      <c r="L179" s="60">
        <f>L56+L75+L39+L95+L19</f>
        <v>0</v>
      </c>
      <c r="M179" s="60">
        <f>M56+M75+M39+M95+M19</f>
        <v>0</v>
      </c>
      <c r="N179" s="59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</row>
    <row r="180" spans="1:50" customHeight="1" ht="18">
      <c r="A180" s="50" t="str">
        <f>A10</f>
        <v>Pagos Ext.</v>
      </c>
      <c r="B180" s="62">
        <f>B57+B76+B40+B96+B21</f>
        <v>0</v>
      </c>
      <c r="C180" s="62">
        <f>C57+C76+C40+C96+C21</f>
        <v>0</v>
      </c>
      <c r="D180" s="62">
        <f>D57+D76+D40+D96+D21</f>
        <v>0</v>
      </c>
      <c r="E180" s="62">
        <f>E57+E76+E40+E96+E21</f>
        <v>0</v>
      </c>
      <c r="F180" s="62">
        <f>F57+F76+F40+F96+F21</f>
        <v>0</v>
      </c>
      <c r="G180" s="62">
        <f>G57+G76+G40+G96+G21</f>
        <v>0</v>
      </c>
      <c r="H180" s="62">
        <f>H57+H76+H40+H96+H21</f>
        <v>0</v>
      </c>
      <c r="I180" s="62">
        <f>I57+I76+I40+I96+I21</f>
        <v>0</v>
      </c>
      <c r="J180" s="62">
        <f>J57+J76+J40+J96+J21</f>
        <v>0</v>
      </c>
      <c r="K180" s="62">
        <f>K57+K76+K40+K96+K21</f>
        <v>0</v>
      </c>
      <c r="L180" s="62">
        <f>L57+L76+L40+L96+L21</f>
        <v>0</v>
      </c>
      <c r="M180" s="62">
        <f>M57+M76+M40+M96+M21</f>
        <v>0</v>
      </c>
      <c r="N180" s="59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</row>
    <row r="181" spans="1:50">
      <c r="A181" s="64" t="s">
        <v>210</v>
      </c>
      <c r="B181" s="65">
        <f>IFERROR(B177/B174,0)</f>
        <v>0.092428764762193</v>
      </c>
      <c r="C181" s="65">
        <f>IFERROR(C177/C174,0)</f>
        <v>0</v>
      </c>
      <c r="D181" s="65">
        <f>IFERROR(D177/D174,0)</f>
        <v>0</v>
      </c>
      <c r="E181" s="65">
        <f>IFERROR(E177/E174,0)</f>
        <v>0</v>
      </c>
      <c r="F181" s="65">
        <f>IFERROR(F177/F174,0)</f>
        <v>0</v>
      </c>
      <c r="G181" s="65">
        <f>IFERROR(G177/G174,0)</f>
        <v>0</v>
      </c>
      <c r="H181" s="65">
        <f>IFERROR(H177/H174,0)</f>
        <v>0</v>
      </c>
      <c r="I181" s="65">
        <f>IFERROR(I177/I174,0)</f>
        <v>0</v>
      </c>
      <c r="J181" s="65">
        <f>IFERROR(J177/J174,0)</f>
        <v>0</v>
      </c>
      <c r="K181" s="65">
        <f>IFERROR(K177/K174,0)</f>
        <v>0</v>
      </c>
      <c r="L181" s="65">
        <f>IFERROR(L177/L174,0)</f>
        <v>0</v>
      </c>
      <c r="M181" s="65">
        <f>IFERROR(M177/M174,0)</f>
        <v>0</v>
      </c>
      <c r="N181" s="74"/>
      <c r="P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</row>
    <row r="182" spans="1:50">
      <c r="A182" s="64" t="s">
        <v>211</v>
      </c>
      <c r="B182" s="67">
        <f>IFERROR(B178/B175,0)</f>
        <v>0.15256323267962</v>
      </c>
      <c r="C182" s="67">
        <f>IFERROR(C178/C175,0)</f>
        <v>0</v>
      </c>
      <c r="D182" s="67">
        <f>IFERROR(D178/D175,0)</f>
        <v>0</v>
      </c>
      <c r="E182" s="67">
        <f>IFERROR(E178/E175,0)</f>
        <v>0</v>
      </c>
      <c r="F182" s="67">
        <f>IFERROR(F178/F175,0)</f>
        <v>0</v>
      </c>
      <c r="G182" s="67">
        <f>IFERROR(G178/G175,0)</f>
        <v>0</v>
      </c>
      <c r="H182" s="67">
        <f>IFERROR(H178/H175,0)</f>
        <v>0</v>
      </c>
      <c r="I182" s="67">
        <f>IFERROR(I178/I175,0)</f>
        <v>0</v>
      </c>
      <c r="J182" s="67">
        <f>IFERROR(J178/J175,0)</f>
        <v>0</v>
      </c>
      <c r="K182" s="67">
        <f>IFERROR(K178/K175,0)</f>
        <v>0</v>
      </c>
      <c r="L182" s="67">
        <f>IFERROR(L178/L175,0)</f>
        <v>0</v>
      </c>
      <c r="M182" s="67">
        <f>IFERROR(M178/M175,0)</f>
        <v>0</v>
      </c>
      <c r="N182" s="66"/>
      <c r="P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</row>
    <row r="183" spans="1:50">
      <c r="B183" s="68"/>
      <c r="C183" s="69"/>
      <c r="F183" s="99"/>
      <c r="N183" s="96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</row>
    <row r="184" spans="1:50">
      <c r="A184" s="119" t="s">
        <v>258</v>
      </c>
      <c r="B184" s="88"/>
      <c r="C184" s="88"/>
      <c r="D184" s="88"/>
      <c r="E184" s="88"/>
      <c r="F184" s="88"/>
      <c r="G184" s="88"/>
      <c r="H184" s="88"/>
      <c r="I184" s="88"/>
      <c r="J184" s="120"/>
      <c r="K184" s="120"/>
      <c r="L184" s="120"/>
      <c r="M184" s="8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</row>
    <row r="185" spans="1:50">
      <c r="M185" s="70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</row>
    <row r="186" spans="1:50">
      <c r="M186" s="70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</row>
    <row r="187" spans="1:50">
      <c r="K187" s="70"/>
      <c r="M187" s="6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</row>
    <row r="188" spans="1:50">
      <c r="C188" s="49" t="s">
        <v>259</v>
      </c>
      <c r="D188" s="49"/>
      <c r="E188" s="49"/>
      <c r="F188" s="49"/>
      <c r="G188" s="49"/>
      <c r="H188" s="49" t="s">
        <v>260</v>
      </c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</row>
    <row r="189" spans="1:50">
      <c r="A189" s="76"/>
      <c r="B189" s="48"/>
      <c r="C189" s="48"/>
      <c r="D189" s="48"/>
      <c r="E189" s="48"/>
      <c r="F189" s="48"/>
      <c r="G189" s="48"/>
      <c r="H189" s="121"/>
      <c r="I189" s="121"/>
      <c r="J189" s="121"/>
      <c r="K189" s="121"/>
      <c r="L189" s="121"/>
      <c r="M189" s="121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</row>
    <row r="190" spans="1:50">
      <c r="A190" s="76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</row>
    <row r="191" spans="1:50">
      <c r="A191" s="76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</row>
    <row r="192" spans="1:50">
      <c r="A192" s="76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</row>
    <row r="193" spans="1:50">
      <c r="A193" s="76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</row>
    <row r="194" spans="1:50">
      <c r="A194" s="76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</row>
    <row r="195" spans="1:50">
      <c r="A195" s="76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</row>
    <row r="196" spans="1:50">
      <c r="A196" s="76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</row>
    <row r="197" spans="1:50">
      <c r="A197" s="76"/>
      <c r="B197" s="48"/>
      <c r="C197" s="48"/>
      <c r="D197" s="48"/>
      <c r="E197" s="48"/>
      <c r="F197" s="48"/>
      <c r="G197" s="48"/>
      <c r="H197" s="48"/>
      <c r="I197" s="48"/>
      <c r="J197" s="121"/>
      <c r="K197" s="121"/>
      <c r="L197" s="121"/>
      <c r="M197" s="121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</row>
    <row r="198" spans="1:50">
      <c r="A198" s="72"/>
      <c r="B198" s="48"/>
      <c r="C198" s="48"/>
      <c r="D198" s="48"/>
      <c r="E198" s="48"/>
      <c r="F198" s="48"/>
      <c r="G198" s="48"/>
      <c r="H198" s="48"/>
      <c r="I198" s="48"/>
      <c r="J198" s="121"/>
      <c r="K198" s="121"/>
      <c r="L198" s="121"/>
      <c r="M198" s="121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</row>
    <row r="199" spans="1:50">
      <c r="A199" s="72"/>
      <c r="B199" s="48"/>
      <c r="C199" s="48"/>
      <c r="D199" s="48"/>
      <c r="E199" s="48"/>
      <c r="F199" s="48"/>
      <c r="G199" s="48"/>
      <c r="H199" s="48"/>
      <c r="I199" s="48"/>
      <c r="J199" s="121"/>
      <c r="K199" s="121"/>
      <c r="L199" s="121"/>
      <c r="M199" s="121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</row>
    <row r="200" spans="1:50" customHeight="1" ht="18">
      <c r="A200" s="72"/>
      <c r="B200" s="48"/>
      <c r="C200" s="48"/>
      <c r="D200" s="48"/>
      <c r="E200" s="48"/>
      <c r="F200" s="48"/>
      <c r="G200" s="48"/>
      <c r="H200" s="48"/>
      <c r="I200" s="48"/>
      <c r="J200" s="52"/>
      <c r="K200" s="52"/>
      <c r="L200" s="52"/>
      <c r="M200" s="52"/>
      <c r="AK200" s="76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</row>
    <row r="201" spans="1:50" customHeight="1" ht="18">
      <c r="A201" s="57"/>
      <c r="B201" s="48"/>
      <c r="C201" s="48"/>
      <c r="D201" s="48"/>
      <c r="E201" s="48"/>
      <c r="F201" s="48"/>
      <c r="G201" s="48"/>
      <c r="H201" s="48"/>
      <c r="I201" s="48"/>
      <c r="J201" s="100"/>
      <c r="K201" s="100"/>
      <c r="L201" s="100"/>
      <c r="M201" s="100"/>
      <c r="AK201" s="76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</row>
    <row r="202" spans="1:50" customHeight="1" ht="18">
      <c r="A202" s="72"/>
      <c r="B202" s="48"/>
      <c r="C202" s="48"/>
      <c r="D202" s="48"/>
      <c r="E202" s="48"/>
      <c r="F202" s="48"/>
      <c r="G202" s="48"/>
      <c r="H202" s="48"/>
      <c r="I202" s="48"/>
      <c r="J202" s="122"/>
      <c r="K202" s="122"/>
      <c r="L202" s="122"/>
      <c r="M202" s="122"/>
      <c r="AK202" s="76"/>
      <c r="AL202" s="48"/>
      <c r="AM202" s="48"/>
      <c r="AN202" s="48"/>
      <c r="AO202" s="48"/>
      <c r="AP202" s="48"/>
      <c r="AQ202" s="48"/>
      <c r="AR202" s="48"/>
      <c r="AS202" s="48"/>
      <c r="AT202" s="121"/>
      <c r="AU202" s="121"/>
      <c r="AV202" s="121"/>
      <c r="AW202" s="121"/>
    </row>
    <row r="203" spans="1:50" customHeight="1" ht="18">
      <c r="A203" s="72"/>
      <c r="B203" s="48"/>
      <c r="C203" s="48"/>
      <c r="D203" s="48"/>
      <c r="E203" s="48"/>
      <c r="F203" s="48"/>
      <c r="G203" s="48"/>
      <c r="H203" s="48"/>
      <c r="I203" s="48"/>
      <c r="J203" s="122"/>
      <c r="K203" s="122"/>
      <c r="L203" s="122"/>
      <c r="M203" s="122"/>
      <c r="AK203" s="72"/>
      <c r="AL203" s="48"/>
      <c r="AM203" s="48"/>
      <c r="AN203" s="48"/>
      <c r="AO203" s="48"/>
      <c r="AP203" s="48"/>
      <c r="AQ203" s="48"/>
      <c r="AR203" s="48"/>
      <c r="AS203" s="48"/>
      <c r="AT203" s="121"/>
      <c r="AU203" s="121"/>
      <c r="AV203" s="121"/>
      <c r="AW203" s="121"/>
    </row>
    <row r="204" spans="1:50" customHeight="1" ht="18">
      <c r="A204" s="72"/>
      <c r="B204" s="64"/>
      <c r="C204" s="122"/>
      <c r="D204" s="97"/>
      <c r="E204" s="122"/>
      <c r="F204" s="122"/>
      <c r="G204" s="122"/>
      <c r="H204" s="122"/>
      <c r="I204" s="122"/>
      <c r="J204" s="122"/>
      <c r="K204" s="122"/>
      <c r="L204" s="122"/>
      <c r="M204" s="122"/>
      <c r="AK204" s="72"/>
      <c r="AL204" s="48"/>
      <c r="AM204" s="48"/>
      <c r="AN204" s="48"/>
      <c r="AO204" s="48"/>
      <c r="AP204" s="48"/>
      <c r="AQ204" s="48"/>
      <c r="AR204" s="48"/>
      <c r="AS204" s="48"/>
      <c r="AT204" s="121"/>
      <c r="AU204" s="121"/>
      <c r="AV204" s="121"/>
      <c r="AW204" s="121"/>
    </row>
    <row r="205" spans="1:50" customHeight="1" ht="18">
      <c r="A205" s="72"/>
      <c r="B205" s="50" t="str">
        <f>A149</f>
        <v>Vtas. 21</v>
      </c>
      <c r="C205" s="121"/>
      <c r="D205" s="122">
        <f>CHOOSE(MONTH(Mes_cierre),B174,C174,D174,E174,F174,G174,H174,I174,J174,K174,L174,M174)</f>
        <v>233214.941425</v>
      </c>
      <c r="E205" s="123"/>
      <c r="F205" s="121"/>
      <c r="G205" s="50" t="str">
        <f>B205</f>
        <v>Vtas. 21</v>
      </c>
      <c r="H205" s="121"/>
      <c r="I205" s="122">
        <f>CHOOSE(MONTH(Mes_cierre),B108,C108,D108,E108,F108,G108,H108,I108,J108,K108,L108,M108)+CHOOSE(MONTH(Mes_cierre),B123,C123,D123,E123,F123,G123,H123,I123,J123,K123,L123,M123)</f>
        <v>1679.22479</v>
      </c>
      <c r="L205" s="122"/>
      <c r="M205" s="122"/>
      <c r="AK205" s="72"/>
      <c r="AL205" s="48"/>
      <c r="AM205" s="48"/>
      <c r="AN205" s="48"/>
      <c r="AO205" s="48"/>
      <c r="AP205" s="48"/>
      <c r="AQ205" s="48"/>
      <c r="AR205" s="48"/>
      <c r="AS205" s="48"/>
      <c r="AT205" s="52"/>
      <c r="AU205" s="52"/>
      <c r="AV205" s="52"/>
      <c r="AW205" s="52"/>
    </row>
    <row r="206" spans="1:50" customHeight="1" ht="18">
      <c r="A206" s="72"/>
      <c r="B206" s="50" t="str">
        <f>A150</f>
        <v>Vtas. P. 21</v>
      </c>
      <c r="C206" s="121"/>
      <c r="D206" s="122">
        <f>CHOOSE(MONTH(Mes_cierre),B175,C175,D175,E175,F175,G175,H175,I175,J175,K175,L175,M175)</f>
        <v>151387.622</v>
      </c>
      <c r="F206" s="121"/>
      <c r="G206" s="50" t="str">
        <f>B206</f>
        <v>Vtas. P. 21</v>
      </c>
      <c r="H206" s="121"/>
      <c r="I206" s="122">
        <f>CHOOSE(MONTH(Mes_cierre),B109,C109,D109,E109,F109,G109,H109,I109,J109,K109,L109,M109)+CHOOSE(MONTH(Mes_cierre),B124,C124,D124,E124,F124,G124,H124,I124,J124,K124,L124,M124)</f>
        <v>1504.436</v>
      </c>
      <c r="L206" s="122"/>
      <c r="M206" s="122"/>
      <c r="AK206" s="57"/>
      <c r="AL206" s="48"/>
      <c r="AM206" s="48"/>
      <c r="AN206" s="48"/>
      <c r="AO206" s="48"/>
      <c r="AP206" s="48"/>
      <c r="AQ206" s="48"/>
      <c r="AR206" s="48"/>
      <c r="AS206" s="48"/>
      <c r="AT206" s="100"/>
      <c r="AU206" s="100"/>
      <c r="AV206" s="100"/>
      <c r="AW206" s="100"/>
    </row>
    <row r="207" spans="1:50" customHeight="1" ht="18">
      <c r="A207" s="72"/>
      <c r="B207" s="50" t="str">
        <f>A151</f>
        <v>Vtas. 20</v>
      </c>
      <c r="C207" s="121"/>
      <c r="D207" s="122">
        <f>CHOOSE(MONTH(Mes_cierre),B176,C176,D176,E176,F176,G176,H176,I176,J176,K176,L176,M176)</f>
        <v>222831.01017</v>
      </c>
      <c r="F207" s="121"/>
      <c r="G207" s="50" t="str">
        <f>B207</f>
        <v>Vtas. 20</v>
      </c>
      <c r="H207" s="121"/>
      <c r="I207" s="122">
        <f>CHOOSE(MONTH(Mes_cierre),B110,C110,D110,E110,F110,G110,H110,I110,J110,K110,L110,M110)+CHOOSE(MONTH(Mes_cierre),B125,C125,D125,E125,F125,G125,H125,I125,J125,K125,L125,M125)</f>
        <v>1478.75915</v>
      </c>
      <c r="J207" s="122"/>
      <c r="K207" s="122"/>
      <c r="L207" s="122"/>
      <c r="M207" s="122"/>
      <c r="AK207" s="72"/>
      <c r="AL207" s="48"/>
      <c r="AM207" s="48"/>
      <c r="AN207" s="48"/>
      <c r="AO207" s="48"/>
      <c r="AP207" s="48"/>
      <c r="AQ207" s="48"/>
      <c r="AR207" s="48"/>
      <c r="AS207" s="48"/>
      <c r="AT207" s="122"/>
      <c r="AU207" s="122"/>
      <c r="AV207" s="122"/>
      <c r="AW207" s="122"/>
    </row>
    <row r="208" spans="1:50" customHeight="1" ht="18">
      <c r="A208" s="72"/>
      <c r="B208" s="50" t="str">
        <f>A152</f>
        <v>UAFIR FL. 21</v>
      </c>
      <c r="C208" s="121"/>
      <c r="D208" s="122">
        <f>CHOOSE(MONTH(Mes_cierre),B177,C177,D177,E177,F177,G177,H177,I177,J177,K177,L177,M177)</f>
        <v>21555.76896</v>
      </c>
      <c r="E208" s="121"/>
      <c r="F208" s="52"/>
      <c r="G208" s="50" t="str">
        <f>B208</f>
        <v>UAFIR FL. 21</v>
      </c>
      <c r="H208" s="52"/>
      <c r="I208" s="122">
        <f>CHOOSE(MONTH(Mes_cierre),B111,C111,D111,E111,F111,G111,H111,I111,J111,K111,L111,M111)+CHOOSE(MONTH(Mes_cierre),B126,C126,D126,E126,F126,G126,H126,I126,J126,K126,L126,M126)</f>
        <v>189.16311</v>
      </c>
      <c r="J208" s="122"/>
      <c r="K208" s="122"/>
      <c r="L208" s="122"/>
      <c r="M208" s="122"/>
      <c r="AK208" s="72"/>
      <c r="AL208" s="48"/>
      <c r="AM208" s="48"/>
      <c r="AN208" s="48"/>
      <c r="AO208" s="48"/>
      <c r="AP208" s="48"/>
      <c r="AQ208" s="48"/>
      <c r="AR208" s="48"/>
      <c r="AS208" s="48"/>
      <c r="AT208" s="122"/>
      <c r="AU208" s="122"/>
      <c r="AV208" s="122"/>
      <c r="AW208" s="122"/>
    </row>
    <row r="209" spans="1:50" customHeight="1" ht="18">
      <c r="A209" s="76"/>
      <c r="B209" s="50" t="str">
        <f>A153</f>
        <v>UAFIRFL.P.21</v>
      </c>
      <c r="C209" s="121"/>
      <c r="D209" s="122">
        <f>CHOOSE(MONTH(Mes_cierre),B178,C178,D178,E178,F178,G178,H178,I178,J178,K178,L178,M178)</f>
        <v>23096.185</v>
      </c>
      <c r="E209" s="121"/>
      <c r="F209" s="100"/>
      <c r="G209" s="50" t="str">
        <f>B209</f>
        <v>UAFIRFL.P.21</v>
      </c>
      <c r="H209" s="100"/>
      <c r="I209" s="122">
        <f>CHOOSE(MONTH(Mes_cierre),B112,C112,D112,E112,F112,G112,H112,I112,J112,K112,L112,M112)+CHOOSE(MONTH(Mes_cierre),B127,C127,D127,E127,F127,G127,H127,I127,J127,K127,L127,M127)</f>
        <v>37.986</v>
      </c>
      <c r="J209" s="124"/>
      <c r="K209" s="124"/>
      <c r="L209" s="124"/>
      <c r="M209" s="124"/>
      <c r="AK209" s="72"/>
      <c r="AL209" s="64"/>
      <c r="AM209" s="122"/>
      <c r="AN209" s="97"/>
      <c r="AO209" s="122"/>
      <c r="AP209" s="122"/>
      <c r="AQ209" s="122"/>
      <c r="AR209" s="122"/>
      <c r="AS209" s="122"/>
      <c r="AT209" s="122"/>
      <c r="AU209" s="122"/>
      <c r="AV209" s="122"/>
      <c r="AW209" s="122"/>
    </row>
    <row r="210" spans="1:50" customHeight="1" ht="18">
      <c r="A210" s="76"/>
      <c r="B210" s="50" t="str">
        <f>A154</f>
        <v>S. Deuda 21</v>
      </c>
      <c r="C210" s="122"/>
      <c r="D210" s="122">
        <f>CHOOSE(MONTH(Mes_cierre),B179,C179,D179,E179,F179,G179,H179,I179,J179,K179,L179,M179)</f>
        <v>0</v>
      </c>
      <c r="E210" s="122"/>
      <c r="F210" s="122"/>
      <c r="G210" s="50" t="str">
        <f>B210</f>
        <v>S. Deuda 21</v>
      </c>
      <c r="H210" s="122"/>
      <c r="I210" s="122">
        <f>CHOOSE(MONTH(Mes_cierre),B113,C113,D113,E113,F113,G113,H113,I113,J113,K113,L113,M113)+CHOOSE(MONTH(Mes_cierre),B128,C128,D128,E128,F128,G128,H128,I128,J128,K128,L128,M128)</f>
        <v>0</v>
      </c>
      <c r="J210" s="124"/>
      <c r="K210" s="124"/>
      <c r="L210" s="124"/>
      <c r="M210" s="124"/>
      <c r="AK210" s="72"/>
      <c r="AL210" s="50"/>
      <c r="AM210" s="121"/>
      <c r="AN210" s="122"/>
      <c r="AO210" s="123"/>
      <c r="AP210" s="121"/>
      <c r="AQ210" s="50"/>
      <c r="AR210" s="121"/>
      <c r="AS210" s="122"/>
      <c r="AV210" s="122"/>
      <c r="AW210" s="122"/>
    </row>
    <row r="211" spans="1:50" customHeight="1" ht="18">
      <c r="A211" s="76"/>
      <c r="B211" s="50" t="s">
        <v>209</v>
      </c>
      <c r="C211" s="122"/>
      <c r="D211" s="122">
        <f>CHOOSE(MONTH(Mes_cierre),B180,C180,D180,E180,F180,G180,H180,I180,J180,K180,L180,M180)</f>
        <v>0</v>
      </c>
      <c r="E211" s="122"/>
      <c r="F211" s="122"/>
      <c r="G211" s="50" t="s">
        <v>209</v>
      </c>
      <c r="H211" s="122"/>
      <c r="I211" s="122">
        <f>CHOOSE(MONTH(Mes_cierre),B114,C114,D114,E114,F114,G114,H114,I114,J114,K114,L114,M114)+CHOOSE(MONTH(Mes_cierre),B129,C129,D129,E129,F129,G129,H129,I129,J129,K129,L129,M129)</f>
        <v>0</v>
      </c>
      <c r="J211" s="121"/>
      <c r="K211" s="121"/>
      <c r="L211" s="121"/>
      <c r="M211" s="121"/>
      <c r="AK211" s="72"/>
      <c r="AL211" s="50"/>
      <c r="AM211" s="121"/>
      <c r="AN211" s="122"/>
      <c r="AP211" s="121"/>
      <c r="AQ211" s="50"/>
      <c r="AR211" s="121"/>
      <c r="AS211" s="122"/>
      <c r="AV211" s="122"/>
      <c r="AW211" s="122"/>
    </row>
    <row r="212" spans="1:50" customHeight="1" ht="18">
      <c r="A212" s="76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AK212" s="72"/>
      <c r="AL212" s="50"/>
      <c r="AM212" s="121"/>
      <c r="AN212" s="122"/>
      <c r="AP212" s="121"/>
      <c r="AQ212" s="50"/>
      <c r="AR212" s="121"/>
      <c r="AS212" s="122"/>
      <c r="AT212" s="122"/>
      <c r="AU212" s="122"/>
      <c r="AV212" s="122"/>
      <c r="AW212" s="122"/>
    </row>
    <row r="213" spans="1:50" customHeight="1" ht="18">
      <c r="A213" s="72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AK213" s="72"/>
      <c r="AL213" s="50"/>
      <c r="AM213" s="121"/>
      <c r="AN213" s="122"/>
      <c r="AO213" s="121"/>
      <c r="AP213" s="52"/>
      <c r="AQ213" s="50"/>
      <c r="AR213" s="52"/>
      <c r="AS213" s="122"/>
      <c r="AT213" s="122"/>
      <c r="AU213" s="122"/>
      <c r="AV213" s="122"/>
      <c r="AW213" s="122"/>
    </row>
    <row r="214" spans="1:50" customHeight="1" ht="18">
      <c r="A214" s="76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AK214" s="76"/>
      <c r="AL214" s="50"/>
      <c r="AM214" s="121"/>
      <c r="AN214" s="122"/>
      <c r="AO214" s="121"/>
      <c r="AP214" s="100"/>
      <c r="AQ214" s="50"/>
      <c r="AR214" s="100"/>
      <c r="AS214" s="122"/>
      <c r="AT214" s="124"/>
      <c r="AU214" s="124"/>
      <c r="AV214" s="124"/>
      <c r="AW214" s="124"/>
    </row>
    <row r="215" spans="1:50" customHeight="1" ht="18">
      <c r="A215" s="72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AK215" s="76"/>
      <c r="AL215" s="50"/>
      <c r="AM215" s="122"/>
      <c r="AN215" s="122"/>
      <c r="AO215" s="122"/>
      <c r="AP215" s="122"/>
      <c r="AQ215" s="50"/>
      <c r="AR215" s="122"/>
      <c r="AS215" s="122"/>
      <c r="AT215" s="124"/>
      <c r="AU215" s="124"/>
      <c r="AV215" s="124"/>
      <c r="AW215" s="124"/>
    </row>
    <row r="216" spans="1:50" customHeight="1" ht="18">
      <c r="A216" s="72"/>
      <c r="B216" s="122"/>
      <c r="C216" s="122"/>
      <c r="D216" s="122"/>
      <c r="E216" s="122"/>
      <c r="F216" s="125"/>
      <c r="H216" s="122"/>
      <c r="I216" s="122"/>
      <c r="J216" s="122"/>
      <c r="K216" s="122"/>
      <c r="L216" s="122"/>
      <c r="M216" s="122"/>
      <c r="AK216" s="76"/>
      <c r="AL216" s="50"/>
      <c r="AM216" s="122"/>
      <c r="AN216" s="122"/>
      <c r="AO216" s="122"/>
      <c r="AP216" s="122"/>
      <c r="AQ216" s="50"/>
      <c r="AR216" s="122"/>
      <c r="AS216" s="122"/>
      <c r="AT216" s="121"/>
      <c r="AU216" s="121"/>
      <c r="AV216" s="121"/>
      <c r="AW216" s="121"/>
    </row>
    <row r="217" spans="1:50">
      <c r="A217" s="76"/>
      <c r="B217" s="124"/>
      <c r="C217" s="124"/>
      <c r="D217" s="124"/>
      <c r="E217" s="124"/>
      <c r="F217" s="126"/>
      <c r="H217" s="124"/>
      <c r="I217" s="124"/>
      <c r="J217" s="124"/>
      <c r="K217" s="124"/>
      <c r="L217" s="124"/>
      <c r="M217" s="124"/>
      <c r="AK217" s="76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</row>
    <row r="218" spans="1:50">
      <c r="A218" s="76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AK218" s="72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</row>
    <row r="219" spans="1:50">
      <c r="A219" s="76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AK219" s="76"/>
      <c r="AL219" s="97"/>
      <c r="AM219" s="97"/>
      <c r="AN219" s="97"/>
      <c r="AO219" s="97"/>
      <c r="AP219" s="97"/>
      <c r="AQ219" s="97"/>
      <c r="AR219" s="97"/>
      <c r="AS219" s="97"/>
      <c r="AT219" s="97"/>
      <c r="AU219" s="97"/>
      <c r="AV219" s="97"/>
      <c r="AW219" s="97"/>
    </row>
    <row r="220" spans="1:50">
      <c r="A220" s="76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AK220" s="72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</row>
    <row r="221" spans="1:50" customHeight="1" ht="18">
      <c r="A221" s="76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AK221" s="72"/>
      <c r="AL221" s="122"/>
      <c r="AM221" s="122"/>
      <c r="AN221" s="122"/>
      <c r="AO221" s="122"/>
      <c r="AP221" s="125"/>
      <c r="AR221" s="122"/>
      <c r="AS221" s="122"/>
      <c r="AT221" s="122"/>
      <c r="AU221" s="122"/>
      <c r="AV221" s="122"/>
      <c r="AW221" s="122"/>
    </row>
    <row r="222" spans="1:50">
      <c r="A222" s="76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AK222" s="76"/>
      <c r="AL222" s="124"/>
      <c r="AM222" s="124"/>
      <c r="AN222" s="124"/>
      <c r="AO222" s="124"/>
      <c r="AP222" s="126"/>
      <c r="AR222" s="124"/>
      <c r="AS222" s="124"/>
      <c r="AT222" s="124"/>
      <c r="AU222" s="124"/>
      <c r="AV222" s="124"/>
      <c r="AW222" s="124"/>
    </row>
    <row r="223" spans="1:50">
      <c r="A223" s="72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AK223" s="76"/>
      <c r="AL223" s="124"/>
      <c r="AM223" s="124"/>
      <c r="AN223" s="124"/>
      <c r="AO223" s="124"/>
      <c r="AP223" s="124"/>
      <c r="AQ223" s="124"/>
      <c r="AR223" s="124"/>
      <c r="AS223" s="124"/>
      <c r="AT223" s="124"/>
      <c r="AU223" s="124"/>
      <c r="AV223" s="124"/>
      <c r="AW223" s="124"/>
    </row>
    <row r="224" spans="1:50" customHeight="1" ht="18">
      <c r="A224" s="76"/>
      <c r="B224" s="52"/>
      <c r="C224" s="51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AK224" s="76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</row>
    <row r="225" spans="1:50" customHeight="1" ht="18" hidden="true">
      <c r="A225" s="57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AK225" s="76"/>
      <c r="AL225" s="97"/>
      <c r="AM225" s="97"/>
      <c r="AN225" s="97"/>
      <c r="AO225" s="97"/>
      <c r="AP225" s="97"/>
      <c r="AQ225" s="97"/>
      <c r="AR225" s="97"/>
      <c r="AS225" s="97"/>
      <c r="AT225" s="97"/>
      <c r="AU225" s="97"/>
      <c r="AV225" s="97"/>
      <c r="AW225" s="97"/>
    </row>
    <row r="226" spans="1:50" hidden="true">
      <c r="A226" s="76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AK226" s="76"/>
      <c r="AL226" s="97"/>
      <c r="AM226" s="97"/>
      <c r="AN226" s="97"/>
      <c r="AO226" s="97"/>
      <c r="AP226" s="97"/>
      <c r="AQ226" s="97"/>
      <c r="AR226" s="97"/>
      <c r="AS226" s="97"/>
      <c r="AT226" s="97"/>
      <c r="AU226" s="97"/>
      <c r="AV226" s="97"/>
      <c r="AW226" s="97"/>
    </row>
    <row r="227" spans="1:50" hidden="true">
      <c r="A227" s="76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AK227" s="76"/>
      <c r="AL227" s="97"/>
      <c r="AM227" s="97"/>
      <c r="AN227" s="97"/>
      <c r="AO227" s="97"/>
      <c r="AP227" s="97"/>
      <c r="AQ227" s="97"/>
      <c r="AR227" s="97"/>
      <c r="AS227" s="97"/>
      <c r="AT227" s="97"/>
      <c r="AU227" s="97"/>
      <c r="AV227" s="97"/>
      <c r="AW227" s="97"/>
    </row>
    <row r="228" spans="1:50" hidden="true">
      <c r="A228" s="76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AK228" s="72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</row>
    <row r="229" spans="1:50" customHeight="1" ht="18" hidden="true">
      <c r="A229" s="76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AK229" s="76"/>
      <c r="AL229" s="52"/>
      <c r="AM229" s="51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</row>
    <row r="230" spans="1:50" customHeight="1" ht="18" hidden="true">
      <c r="A230" s="76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AK230" s="57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</row>
    <row r="231" spans="1:50" hidden="true">
      <c r="A231" s="76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AK231" s="76"/>
      <c r="AL231" s="97"/>
      <c r="AM231" s="97"/>
      <c r="AN231" s="97"/>
      <c r="AO231" s="97"/>
      <c r="AP231" s="97"/>
      <c r="AQ231" s="97"/>
      <c r="AR231" s="97"/>
      <c r="AS231" s="97"/>
      <c r="AT231" s="97"/>
      <c r="AU231" s="97"/>
      <c r="AV231" s="97"/>
      <c r="AW231" s="97"/>
    </row>
    <row r="232" spans="1:50" hidden="true">
      <c r="A232" s="76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AK232" s="76"/>
      <c r="AL232" s="97"/>
      <c r="AM232" s="97"/>
      <c r="AN232" s="97"/>
      <c r="AO232" s="97"/>
      <c r="AP232" s="97"/>
      <c r="AQ232" s="97"/>
      <c r="AR232" s="97"/>
      <c r="AS232" s="97"/>
      <c r="AT232" s="97"/>
      <c r="AU232" s="97"/>
      <c r="AV232" s="97"/>
      <c r="AW232" s="97"/>
    </row>
    <row r="233" spans="1:50" hidden="true">
      <c r="A233" s="76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AK233" s="76"/>
      <c r="AL233" s="97"/>
      <c r="AM233" s="97"/>
      <c r="AN233" s="97"/>
      <c r="AO233" s="97"/>
      <c r="AP233" s="97"/>
      <c r="AQ233" s="97"/>
      <c r="AR233" s="97"/>
      <c r="AS233" s="97"/>
      <c r="AT233" s="97"/>
      <c r="AU233" s="97"/>
      <c r="AV233" s="97"/>
      <c r="AW233" s="97"/>
    </row>
    <row r="234" spans="1:50" hidden="true">
      <c r="A234" s="76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AK234" s="76"/>
      <c r="AL234" s="97"/>
      <c r="AM234" s="97"/>
      <c r="AN234" s="97"/>
      <c r="AO234" s="97"/>
      <c r="AP234" s="97"/>
      <c r="AQ234" s="97"/>
      <c r="AR234" s="97"/>
      <c r="AS234" s="97"/>
      <c r="AT234" s="97"/>
      <c r="AU234" s="97"/>
      <c r="AV234" s="97"/>
      <c r="AW234" s="97"/>
    </row>
    <row r="235" spans="1:50" hidden="true">
      <c r="A235" s="76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AK235" s="76"/>
      <c r="AL235" s="97"/>
      <c r="AM235" s="97"/>
      <c r="AN235" s="97"/>
      <c r="AO235" s="97"/>
      <c r="AP235" s="97"/>
      <c r="AQ235" s="97"/>
      <c r="AR235" s="97"/>
      <c r="AS235" s="97"/>
      <c r="AT235" s="97"/>
      <c r="AU235" s="97"/>
      <c r="AV235" s="97"/>
      <c r="AW235" s="97"/>
    </row>
    <row r="236" spans="1:50" hidden="true">
      <c r="A236" s="76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AK236" s="76"/>
      <c r="AL236" s="97"/>
      <c r="AM236" s="97"/>
      <c r="AN236" s="97"/>
      <c r="AO236" s="97"/>
      <c r="AP236" s="97"/>
      <c r="AQ236" s="97"/>
      <c r="AR236" s="97"/>
      <c r="AS236" s="97"/>
      <c r="AT236" s="97"/>
      <c r="AU236" s="97"/>
      <c r="AV236" s="97"/>
      <c r="AW236" s="97"/>
    </row>
    <row r="237" spans="1:50" hidden="true">
      <c r="A237" s="76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AK237" s="76"/>
      <c r="AL237" s="124"/>
      <c r="AM237" s="124"/>
      <c r="AN237" s="124"/>
      <c r="AO237" s="124"/>
      <c r="AP237" s="124"/>
      <c r="AQ237" s="124"/>
      <c r="AR237" s="124"/>
      <c r="AS237" s="124"/>
      <c r="AT237" s="124"/>
      <c r="AU237" s="124"/>
      <c r="AV237" s="124"/>
      <c r="AW237" s="124"/>
    </row>
    <row r="238" spans="1:50" hidden="true">
      <c r="A238" s="72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AK238" s="76"/>
      <c r="AL238" s="124"/>
      <c r="AM238" s="124"/>
      <c r="AN238" s="124"/>
      <c r="AO238" s="124"/>
      <c r="AP238" s="124"/>
      <c r="AQ238" s="124"/>
      <c r="AR238" s="124"/>
      <c r="AS238" s="124"/>
      <c r="AT238" s="124"/>
      <c r="AU238" s="124"/>
      <c r="AV238" s="124"/>
      <c r="AW238" s="124"/>
    </row>
    <row r="239" spans="1:50" customHeight="1" ht="18" hidden="true">
      <c r="A239" s="76"/>
      <c r="B239" s="52"/>
      <c r="C239" s="51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AK239" s="76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</row>
    <row r="240" spans="1:50" customHeight="1" ht="18" hidden="true">
      <c r="A240" s="57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AK240" s="76"/>
      <c r="AL240" s="97"/>
      <c r="AM240" s="97"/>
      <c r="AN240" s="97"/>
      <c r="AO240" s="97"/>
      <c r="AP240" s="97"/>
      <c r="AQ240" s="97"/>
      <c r="AR240" s="97"/>
      <c r="AS240" s="97"/>
      <c r="AT240" s="97"/>
      <c r="AU240" s="97"/>
      <c r="AV240" s="97"/>
      <c r="AW240" s="97"/>
    </row>
    <row r="241" spans="1:50" hidden="true">
      <c r="A241" s="76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AK241" s="76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</row>
    <row r="242" spans="1:50" hidden="true">
      <c r="A242" s="76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AK242" s="76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97"/>
      <c r="AW242" s="97"/>
    </row>
    <row r="243" spans="1:50" hidden="true">
      <c r="A243" s="76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AK243" s="72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</row>
    <row r="244" spans="1:50" customHeight="1" ht="18" hidden="true">
      <c r="A244" s="76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AK244" s="76"/>
      <c r="AL244" s="52"/>
      <c r="AM244" s="51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</row>
    <row r="245" spans="1:50" customHeight="1" ht="18" hidden="true">
      <c r="A245" s="76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AK245" s="57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</row>
    <row r="246" spans="1:50" hidden="true">
      <c r="A246" s="76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AK246" s="76"/>
      <c r="AL246" s="97"/>
      <c r="AM246" s="97"/>
      <c r="AN246" s="97"/>
      <c r="AO246" s="97"/>
      <c r="AP246" s="97"/>
      <c r="AQ246" s="97"/>
      <c r="AR246" s="97"/>
      <c r="AS246" s="97"/>
      <c r="AT246" s="97"/>
      <c r="AU246" s="97"/>
      <c r="AV246" s="97"/>
      <c r="AW246" s="97"/>
    </row>
    <row r="247" spans="1:50" hidden="true">
      <c r="A247" s="76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AK247" s="76"/>
      <c r="AL247" s="97"/>
      <c r="AM247" s="97"/>
      <c r="AN247" s="97"/>
      <c r="AO247" s="97"/>
      <c r="AP247" s="97"/>
      <c r="AQ247" s="97"/>
      <c r="AR247" s="97"/>
      <c r="AS247" s="97"/>
      <c r="AT247" s="97"/>
      <c r="AU247" s="97"/>
      <c r="AV247" s="97"/>
      <c r="AW247" s="97"/>
    </row>
    <row r="248" spans="1:50" hidden="true">
      <c r="A248" s="76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AK248" s="76"/>
      <c r="AL248" s="97"/>
      <c r="AM248" s="97"/>
      <c r="AN248" s="97"/>
      <c r="AO248" s="97"/>
      <c r="AP248" s="97"/>
      <c r="AQ248" s="97"/>
      <c r="AR248" s="97"/>
      <c r="AS248" s="97"/>
      <c r="AT248" s="97"/>
      <c r="AU248" s="97"/>
      <c r="AV248" s="97"/>
      <c r="AW248" s="97"/>
    </row>
    <row r="249" spans="1:50" hidden="true">
      <c r="A249" s="76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AK249" s="76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97"/>
      <c r="AW249" s="97"/>
    </row>
    <row r="250" spans="1:50" hidden="true">
      <c r="A250" s="76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AK250" s="76"/>
      <c r="AL250" s="97"/>
      <c r="AM250" s="97"/>
      <c r="AN250" s="97"/>
      <c r="AO250" s="97"/>
      <c r="AP250" s="97"/>
      <c r="AQ250" s="97"/>
      <c r="AR250" s="97"/>
      <c r="AS250" s="97"/>
      <c r="AT250" s="97"/>
      <c r="AU250" s="97"/>
      <c r="AV250" s="97"/>
      <c r="AW250" s="97"/>
    </row>
    <row r="251" spans="1:50" hidden="true">
      <c r="A251" s="76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AK251" s="76"/>
      <c r="AL251" s="97"/>
      <c r="AM251" s="97"/>
      <c r="AN251" s="97"/>
      <c r="AO251" s="97"/>
      <c r="AP251" s="97"/>
      <c r="AQ251" s="97"/>
      <c r="AR251" s="97"/>
      <c r="AS251" s="97"/>
      <c r="AT251" s="97"/>
      <c r="AU251" s="97"/>
      <c r="AV251" s="97"/>
      <c r="AW251" s="97"/>
    </row>
    <row r="252" spans="1:50" hidden="true">
      <c r="A252" s="76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AK252" s="76"/>
      <c r="AL252" s="124"/>
      <c r="AM252" s="124"/>
      <c r="AN252" s="124"/>
      <c r="AO252" s="124"/>
      <c r="AP252" s="124"/>
      <c r="AQ252" s="124"/>
      <c r="AR252" s="124"/>
      <c r="AS252" s="124"/>
      <c r="AT252" s="124"/>
      <c r="AU252" s="124"/>
      <c r="AV252" s="124"/>
      <c r="AW252" s="124"/>
    </row>
    <row r="253" spans="1:50" hidden="true">
      <c r="A253" s="72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AK253" s="76"/>
      <c r="AL253" s="124"/>
      <c r="AM253" s="124"/>
      <c r="AN253" s="124"/>
      <c r="AO253" s="124"/>
      <c r="AP253" s="124"/>
      <c r="AQ253" s="124"/>
      <c r="AR253" s="124"/>
      <c r="AS253" s="124"/>
      <c r="AT253" s="124"/>
      <c r="AU253" s="124"/>
      <c r="AV253" s="124"/>
      <c r="AW253" s="124"/>
    </row>
    <row r="254" spans="1:50" customHeight="1" ht="18" hidden="true">
      <c r="A254" s="76"/>
      <c r="B254" s="52"/>
      <c r="C254" s="51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AK254" s="76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</row>
    <row r="255" spans="1:50" customHeight="1" ht="18" hidden="true">
      <c r="A255" s="57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AK255" s="76"/>
      <c r="AL255" s="97"/>
      <c r="AM255" s="97"/>
      <c r="AN255" s="97"/>
      <c r="AO255" s="97"/>
      <c r="AP255" s="97"/>
      <c r="AQ255" s="97"/>
      <c r="AR255" s="97"/>
      <c r="AS255" s="97"/>
      <c r="AT255" s="97"/>
      <c r="AU255" s="97"/>
      <c r="AV255" s="97"/>
      <c r="AW255" s="97"/>
    </row>
    <row r="256" spans="1:50" hidden="true">
      <c r="A256" s="76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AK256" s="76"/>
      <c r="AL256" s="97"/>
      <c r="AM256" s="97"/>
      <c r="AN256" s="97"/>
      <c r="AO256" s="97"/>
      <c r="AP256" s="97"/>
      <c r="AQ256" s="97"/>
      <c r="AR256" s="97"/>
      <c r="AS256" s="97"/>
      <c r="AT256" s="97"/>
      <c r="AU256" s="97"/>
      <c r="AV256" s="97"/>
      <c r="AW256" s="97"/>
    </row>
    <row r="257" spans="1:50" hidden="true">
      <c r="A257" s="76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AK257" s="76"/>
      <c r="AL257" s="97"/>
      <c r="AM257" s="97"/>
      <c r="AN257" s="97"/>
      <c r="AO257" s="97"/>
      <c r="AP257" s="97"/>
      <c r="AQ257" s="97"/>
      <c r="AR257" s="97"/>
      <c r="AS257" s="97"/>
      <c r="AT257" s="97"/>
      <c r="AU257" s="97"/>
      <c r="AV257" s="97"/>
      <c r="AW257" s="97"/>
    </row>
    <row r="258" spans="1:50" hidden="true">
      <c r="A258" s="76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AK258" s="72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</row>
    <row r="259" spans="1:50" customHeight="1" ht="18" hidden="true">
      <c r="A259" s="76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AK259" s="76"/>
      <c r="AL259" s="52"/>
      <c r="AM259" s="51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</row>
    <row r="260" spans="1:50" customHeight="1" ht="18" hidden="true">
      <c r="A260" s="76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AK260" s="57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</row>
    <row r="261" spans="1:50" hidden="true">
      <c r="A261" s="76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AK261" s="76"/>
      <c r="AL261" s="97"/>
      <c r="AM261" s="97"/>
      <c r="AN261" s="97"/>
      <c r="AO261" s="97"/>
      <c r="AP261" s="97"/>
      <c r="AQ261" s="97"/>
      <c r="AR261" s="97"/>
      <c r="AS261" s="97"/>
      <c r="AT261" s="97"/>
      <c r="AU261" s="97"/>
      <c r="AV261" s="97"/>
      <c r="AW261" s="97"/>
    </row>
    <row r="262" spans="1:50" hidden="true">
      <c r="A262" s="76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AK262" s="76"/>
      <c r="AL262" s="97"/>
      <c r="AM262" s="97"/>
      <c r="AN262" s="97"/>
      <c r="AO262" s="97"/>
      <c r="AP262" s="97"/>
      <c r="AQ262" s="97"/>
      <c r="AR262" s="97"/>
      <c r="AS262" s="97"/>
      <c r="AT262" s="97"/>
      <c r="AU262" s="97"/>
      <c r="AV262" s="97"/>
      <c r="AW262" s="97"/>
    </row>
    <row r="263" spans="1:50" hidden="true">
      <c r="A263" s="76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AK263" s="76"/>
      <c r="AL263" s="97"/>
      <c r="AM263" s="97"/>
      <c r="AN263" s="97"/>
      <c r="AO263" s="97"/>
      <c r="AP263" s="97"/>
      <c r="AQ263" s="97"/>
      <c r="AR263" s="97"/>
      <c r="AS263" s="97"/>
      <c r="AT263" s="97"/>
      <c r="AU263" s="97"/>
      <c r="AV263" s="97"/>
      <c r="AW263" s="97"/>
    </row>
    <row r="264" spans="1:50" hidden="true">
      <c r="A264" s="76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AK264" s="76"/>
      <c r="AL264" s="97"/>
      <c r="AM264" s="97"/>
      <c r="AN264" s="97"/>
      <c r="AO264" s="97"/>
      <c r="AP264" s="97"/>
      <c r="AQ264" s="97"/>
      <c r="AR264" s="97"/>
      <c r="AS264" s="97"/>
      <c r="AT264" s="97"/>
      <c r="AU264" s="97"/>
      <c r="AV264" s="97"/>
      <c r="AW264" s="97"/>
    </row>
    <row r="265" spans="1:50" hidden="true">
      <c r="A265" s="76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AK265" s="76"/>
      <c r="AL265" s="97"/>
      <c r="AM265" s="97"/>
      <c r="AN265" s="97"/>
      <c r="AO265" s="97"/>
      <c r="AP265" s="97"/>
      <c r="AQ265" s="97"/>
      <c r="AR265" s="97"/>
      <c r="AS265" s="97"/>
      <c r="AT265" s="97"/>
      <c r="AU265" s="97"/>
      <c r="AV265" s="97"/>
      <c r="AW265" s="97"/>
    </row>
    <row r="266" spans="1:50" hidden="true">
      <c r="A266" s="76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AK266" s="76"/>
      <c r="AL266" s="97"/>
      <c r="AM266" s="97"/>
      <c r="AN266" s="97"/>
      <c r="AO266" s="97"/>
      <c r="AP266" s="97"/>
      <c r="AQ266" s="97"/>
      <c r="AR266" s="97"/>
      <c r="AS266" s="97"/>
      <c r="AT266" s="97"/>
      <c r="AU266" s="97"/>
      <c r="AV266" s="97"/>
      <c r="AW266" s="97"/>
    </row>
    <row r="267" spans="1:50" hidden="true">
      <c r="A267" s="76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AK267" s="76"/>
      <c r="AL267" s="124"/>
      <c r="AM267" s="124"/>
      <c r="AN267" s="124"/>
      <c r="AO267" s="124"/>
      <c r="AP267" s="124"/>
      <c r="AQ267" s="124"/>
      <c r="AR267" s="124"/>
      <c r="AS267" s="124"/>
      <c r="AT267" s="124"/>
      <c r="AU267" s="124"/>
      <c r="AV267" s="124"/>
      <c r="AW267" s="124"/>
    </row>
    <row r="268" spans="1:50" hidden="true">
      <c r="A268" s="72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AK268" s="76"/>
      <c r="AL268" s="124"/>
      <c r="AM268" s="124"/>
      <c r="AN268" s="124"/>
      <c r="AO268" s="124"/>
      <c r="AP268" s="124"/>
      <c r="AQ268" s="124"/>
      <c r="AR268" s="124"/>
      <c r="AS268" s="124"/>
      <c r="AT268" s="124"/>
      <c r="AU268" s="124"/>
      <c r="AV268" s="124"/>
      <c r="AW268" s="124"/>
    </row>
    <row r="269" spans="1:50" customHeight="1" ht="18" hidden="true">
      <c r="A269" s="76"/>
      <c r="B269" s="52"/>
      <c r="C269" s="51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AK269" s="76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</row>
    <row r="270" spans="1:50" customHeight="1" ht="18" hidden="true">
      <c r="A270" s="57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AK270" s="76"/>
      <c r="AL270" s="97"/>
      <c r="AM270" s="97"/>
      <c r="AN270" s="97"/>
      <c r="AO270" s="97"/>
      <c r="AP270" s="97"/>
      <c r="AQ270" s="97"/>
      <c r="AR270" s="97"/>
      <c r="AS270" s="97"/>
      <c r="AT270" s="97"/>
      <c r="AU270" s="97"/>
      <c r="AV270" s="97"/>
      <c r="AW270" s="97"/>
    </row>
    <row r="271" spans="1:50" hidden="true">
      <c r="A271" s="76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AK271" s="76"/>
      <c r="AL271" s="97"/>
      <c r="AM271" s="97"/>
      <c r="AN271" s="97"/>
      <c r="AO271" s="97"/>
      <c r="AP271" s="97"/>
      <c r="AQ271" s="97"/>
      <c r="AR271" s="97"/>
      <c r="AS271" s="97"/>
      <c r="AT271" s="97"/>
      <c r="AU271" s="97"/>
      <c r="AV271" s="97"/>
      <c r="AW271" s="97"/>
    </row>
    <row r="272" spans="1:50" hidden="true">
      <c r="A272" s="76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AK272" s="76"/>
      <c r="AL272" s="97"/>
      <c r="AM272" s="97"/>
      <c r="AN272" s="97"/>
      <c r="AO272" s="97"/>
      <c r="AP272" s="97"/>
      <c r="AQ272" s="97"/>
      <c r="AR272" s="97"/>
      <c r="AS272" s="97"/>
      <c r="AT272" s="97"/>
      <c r="AU272" s="97"/>
      <c r="AV272" s="97"/>
      <c r="AW272" s="97"/>
    </row>
    <row r="273" spans="1:50" hidden="true">
      <c r="A273" s="76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AK273" s="72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</row>
    <row r="274" spans="1:50" customHeight="1" ht="18" hidden="true">
      <c r="A274" s="76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AK274" s="76"/>
      <c r="AL274" s="52"/>
      <c r="AM274" s="51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</row>
    <row r="275" spans="1:50" customHeight="1" ht="18" hidden="true">
      <c r="A275" s="76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AK275" s="57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</row>
    <row r="276" spans="1:50" hidden="true">
      <c r="A276" s="76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AK276" s="76"/>
      <c r="AL276" s="97"/>
      <c r="AM276" s="97"/>
      <c r="AN276" s="97"/>
      <c r="AO276" s="97"/>
      <c r="AP276" s="97"/>
      <c r="AQ276" s="97"/>
      <c r="AR276" s="97"/>
      <c r="AS276" s="97"/>
      <c r="AT276" s="97"/>
      <c r="AU276" s="97"/>
      <c r="AV276" s="97"/>
      <c r="AW276" s="97"/>
    </row>
    <row r="277" spans="1:50" hidden="true">
      <c r="A277" s="76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AK277" s="76"/>
      <c r="AL277" s="97"/>
      <c r="AM277" s="97"/>
      <c r="AN277" s="97"/>
      <c r="AO277" s="97"/>
      <c r="AP277" s="97"/>
      <c r="AQ277" s="97"/>
      <c r="AR277" s="97"/>
      <c r="AS277" s="97"/>
      <c r="AT277" s="97"/>
      <c r="AU277" s="97"/>
      <c r="AV277" s="97"/>
      <c r="AW277" s="97"/>
    </row>
    <row r="278" spans="1:50" hidden="true">
      <c r="A278" s="76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AK278" s="76"/>
      <c r="AL278" s="97"/>
      <c r="AM278" s="97"/>
      <c r="AN278" s="97"/>
      <c r="AO278" s="97"/>
      <c r="AP278" s="97"/>
      <c r="AQ278" s="97"/>
      <c r="AR278" s="97"/>
      <c r="AS278" s="97"/>
      <c r="AT278" s="97"/>
      <c r="AU278" s="97"/>
      <c r="AV278" s="97"/>
      <c r="AW278" s="97"/>
    </row>
    <row r="279" spans="1:50" hidden="true">
      <c r="A279" s="76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AK279" s="76"/>
      <c r="AL279" s="97"/>
      <c r="AM279" s="97"/>
      <c r="AN279" s="97"/>
      <c r="AO279" s="97"/>
      <c r="AP279" s="97"/>
      <c r="AQ279" s="97"/>
      <c r="AR279" s="97"/>
      <c r="AS279" s="97"/>
      <c r="AT279" s="97"/>
      <c r="AU279" s="97"/>
      <c r="AV279" s="97"/>
      <c r="AW279" s="97"/>
    </row>
    <row r="280" spans="1:50" hidden="true">
      <c r="A280" s="76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AK280" s="76"/>
      <c r="AL280" s="97"/>
      <c r="AM280" s="97"/>
      <c r="AN280" s="97"/>
      <c r="AO280" s="97"/>
      <c r="AP280" s="97"/>
      <c r="AQ280" s="97"/>
      <c r="AR280" s="97"/>
      <c r="AS280" s="97"/>
      <c r="AT280" s="97"/>
      <c r="AU280" s="97"/>
      <c r="AV280" s="97"/>
      <c r="AW280" s="97"/>
    </row>
    <row r="281" spans="1:50" hidden="true">
      <c r="A281" s="76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AK281" s="76"/>
      <c r="AL281" s="97"/>
      <c r="AM281" s="97"/>
      <c r="AN281" s="97"/>
      <c r="AO281" s="97"/>
      <c r="AP281" s="97"/>
      <c r="AQ281" s="97"/>
      <c r="AR281" s="97"/>
      <c r="AS281" s="97"/>
      <c r="AT281" s="97"/>
      <c r="AU281" s="97"/>
      <c r="AV281" s="97"/>
      <c r="AW281" s="97"/>
    </row>
    <row r="282" spans="1:50" hidden="true">
      <c r="A282" s="76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AK282" s="76"/>
      <c r="AL282" s="124"/>
      <c r="AM282" s="124"/>
      <c r="AN282" s="124"/>
      <c r="AO282" s="124"/>
      <c r="AP282" s="124"/>
      <c r="AQ282" s="124"/>
      <c r="AR282" s="124"/>
      <c r="AS282" s="124"/>
      <c r="AT282" s="124"/>
      <c r="AU282" s="124"/>
      <c r="AV282" s="124"/>
      <c r="AW282" s="124"/>
    </row>
    <row r="283" spans="1:50" customHeight="1" ht="18" hidden="true">
      <c r="A283" s="72"/>
      <c r="B283" s="127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AK283" s="76"/>
      <c r="AL283" s="124"/>
      <c r="AM283" s="124"/>
      <c r="AN283" s="124"/>
      <c r="AO283" s="124"/>
      <c r="AP283" s="124"/>
      <c r="AQ283" s="124"/>
      <c r="AR283" s="124"/>
      <c r="AS283" s="124"/>
      <c r="AT283" s="124"/>
      <c r="AU283" s="124"/>
      <c r="AV283" s="124"/>
      <c r="AW283" s="124"/>
    </row>
    <row r="284" spans="1:50" customHeight="1" ht="18" hidden="true">
      <c r="A284" s="76"/>
      <c r="B284" s="52"/>
      <c r="C284" s="51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AK284" s="76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</row>
    <row r="285" spans="1:50" customHeight="1" ht="18" hidden="true">
      <c r="A285" s="57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AK285" s="76"/>
      <c r="AL285" s="97"/>
      <c r="AM285" s="97"/>
      <c r="AN285" s="97"/>
      <c r="AO285" s="97"/>
      <c r="AP285" s="97"/>
      <c r="AQ285" s="97"/>
      <c r="AR285" s="97"/>
      <c r="AS285" s="97"/>
      <c r="AT285" s="97"/>
      <c r="AU285" s="97"/>
      <c r="AV285" s="97"/>
      <c r="AW285" s="97"/>
    </row>
    <row r="286" spans="1:50" hidden="true">
      <c r="A286" s="76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AK286" s="76"/>
      <c r="AL286" s="97"/>
      <c r="AM286" s="97"/>
      <c r="AN286" s="97"/>
      <c r="AO286" s="97"/>
      <c r="AP286" s="97"/>
      <c r="AQ286" s="97"/>
      <c r="AR286" s="97"/>
      <c r="AS286" s="97"/>
      <c r="AT286" s="97"/>
      <c r="AU286" s="97"/>
      <c r="AV286" s="97"/>
      <c r="AW286" s="97"/>
    </row>
    <row r="287" spans="1:50" hidden="true">
      <c r="A287" s="76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AK287" s="76"/>
      <c r="AL287" s="97"/>
      <c r="AM287" s="97"/>
      <c r="AN287" s="97"/>
      <c r="AO287" s="97"/>
      <c r="AP287" s="97"/>
      <c r="AQ287" s="97"/>
      <c r="AR287" s="97"/>
      <c r="AS287" s="97"/>
      <c r="AT287" s="97"/>
      <c r="AU287" s="97"/>
      <c r="AV287" s="97"/>
      <c r="AW287" s="97"/>
    </row>
    <row r="288" spans="1:50" customHeight="1" ht="18" hidden="true">
      <c r="A288" s="76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AK288" s="72"/>
      <c r="AL288" s="127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</row>
    <row r="289" spans="1:50" customHeight="1" ht="18" hidden="true">
      <c r="A289" s="76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AK289" s="76"/>
      <c r="AL289" s="52"/>
      <c r="AM289" s="51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</row>
    <row r="290" spans="1:50" customHeight="1" ht="18" hidden="true">
      <c r="A290" s="76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AK290" s="57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</row>
    <row r="291" spans="1:50" hidden="true">
      <c r="A291" s="76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AK291" s="76"/>
      <c r="AL291" s="97"/>
      <c r="AM291" s="97"/>
      <c r="AN291" s="97"/>
      <c r="AO291" s="97"/>
      <c r="AP291" s="97"/>
      <c r="AQ291" s="97"/>
      <c r="AR291" s="97"/>
      <c r="AS291" s="97"/>
      <c r="AT291" s="97"/>
      <c r="AU291" s="97"/>
      <c r="AV291" s="97"/>
      <c r="AW291" s="97"/>
    </row>
    <row r="292" spans="1:50" hidden="true">
      <c r="A292" s="76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AK292" s="76"/>
      <c r="AL292" s="97"/>
      <c r="AM292" s="97"/>
      <c r="AN292" s="97"/>
      <c r="AO292" s="97"/>
      <c r="AP292" s="97"/>
      <c r="AQ292" s="97"/>
      <c r="AR292" s="97"/>
      <c r="AS292" s="97"/>
      <c r="AT292" s="97"/>
      <c r="AU292" s="97"/>
      <c r="AV292" s="97"/>
      <c r="AW292" s="97"/>
    </row>
    <row r="293" spans="1:50" hidden="true">
      <c r="A293" s="76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AK293" s="76"/>
      <c r="AL293" s="97"/>
      <c r="AM293" s="97"/>
      <c r="AN293" s="97"/>
      <c r="AO293" s="97"/>
      <c r="AP293" s="97"/>
      <c r="AQ293" s="97"/>
      <c r="AR293" s="97"/>
      <c r="AS293" s="97"/>
      <c r="AT293" s="97"/>
      <c r="AU293" s="97"/>
      <c r="AV293" s="97"/>
      <c r="AW293" s="97"/>
    </row>
    <row r="294" spans="1:50" hidden="true">
      <c r="A294" s="76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AK294" s="76"/>
      <c r="AL294" s="97"/>
      <c r="AM294" s="97"/>
      <c r="AN294" s="97"/>
      <c r="AO294" s="97"/>
      <c r="AP294" s="97"/>
      <c r="AQ294" s="97"/>
      <c r="AR294" s="97"/>
      <c r="AS294" s="97"/>
      <c r="AT294" s="97"/>
      <c r="AU294" s="97"/>
      <c r="AV294" s="97"/>
      <c r="AW294" s="97"/>
    </row>
    <row r="295" spans="1:50" hidden="true">
      <c r="A295" s="76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AK295" s="76"/>
      <c r="AL295" s="97"/>
      <c r="AM295" s="97"/>
      <c r="AN295" s="97"/>
      <c r="AO295" s="97"/>
      <c r="AP295" s="97"/>
      <c r="AQ295" s="97"/>
      <c r="AR295" s="97"/>
      <c r="AS295" s="97"/>
      <c r="AT295" s="97"/>
      <c r="AU295" s="97"/>
      <c r="AV295" s="97"/>
      <c r="AW295" s="97"/>
    </row>
    <row r="296" spans="1:50" hidden="true">
      <c r="A296" s="76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AK296" s="76"/>
      <c r="AL296" s="97"/>
      <c r="AM296" s="97"/>
      <c r="AN296" s="97"/>
      <c r="AO296" s="97"/>
      <c r="AP296" s="97"/>
      <c r="AQ296" s="97"/>
      <c r="AR296" s="97"/>
      <c r="AS296" s="97"/>
      <c r="AT296" s="97"/>
      <c r="AU296" s="97"/>
      <c r="AV296" s="97"/>
      <c r="AW296" s="97"/>
    </row>
    <row r="297" spans="1:50" customHeight="1" ht="18" hidden="true">
      <c r="A297" s="72"/>
      <c r="B297" s="122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AK297" s="76"/>
      <c r="AL297" s="124"/>
      <c r="AM297" s="124"/>
      <c r="AN297" s="124"/>
      <c r="AO297" s="124"/>
      <c r="AP297" s="124"/>
      <c r="AQ297" s="124"/>
      <c r="AR297" s="124"/>
      <c r="AS297" s="124"/>
      <c r="AT297" s="124"/>
      <c r="AU297" s="124"/>
      <c r="AV297" s="124"/>
      <c r="AW297" s="124"/>
    </row>
    <row r="298" spans="1:50" customHeight="1" ht="18" hidden="true">
      <c r="A298" s="72"/>
      <c r="B298" s="127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AK298" s="76"/>
      <c r="AL298" s="124"/>
      <c r="AM298" s="124"/>
      <c r="AN298" s="124"/>
      <c r="AO298" s="124"/>
      <c r="AP298" s="124"/>
      <c r="AQ298" s="124"/>
      <c r="AR298" s="124"/>
      <c r="AS298" s="124"/>
      <c r="AT298" s="124"/>
      <c r="AU298" s="124"/>
      <c r="AV298" s="124"/>
      <c r="AW298" s="124"/>
    </row>
    <row r="299" spans="1:50" customHeight="1" ht="18" hidden="true">
      <c r="A299" s="76"/>
      <c r="B299" s="52"/>
      <c r="C299" s="51"/>
      <c r="D299" s="52"/>
      <c r="E299" s="52"/>
      <c r="F299" s="52"/>
      <c r="G299" s="52"/>
      <c r="H299" s="52"/>
      <c r="I299" s="128"/>
      <c r="J299" s="52"/>
      <c r="K299" s="52"/>
      <c r="L299" s="52"/>
      <c r="M299" s="52"/>
      <c r="AK299" s="76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</row>
    <row r="300" spans="1:50" customHeight="1" ht="18" hidden="true">
      <c r="A300" s="57"/>
      <c r="B300" s="100"/>
      <c r="C300" s="100"/>
      <c r="D300" s="123">
        <f>D208</f>
        <v>21555.76896</v>
      </c>
      <c r="E300" s="100"/>
      <c r="F300" s="129"/>
      <c r="G300" s="125"/>
      <c r="H300" s="100"/>
      <c r="I300" s="130"/>
      <c r="J300" s="131"/>
      <c r="K300" s="100"/>
      <c r="L300" s="100"/>
      <c r="M300" s="100"/>
      <c r="AK300" s="76"/>
      <c r="AL300" s="97"/>
      <c r="AM300" s="97"/>
      <c r="AN300" s="97"/>
      <c r="AO300" s="97"/>
      <c r="AP300" s="97"/>
      <c r="AQ300" s="97"/>
      <c r="AR300" s="97"/>
      <c r="AS300" s="97"/>
      <c r="AT300" s="97"/>
      <c r="AU300" s="97"/>
      <c r="AV300" s="97"/>
      <c r="AW300" s="97"/>
    </row>
    <row r="301" spans="1:50" customHeight="1" ht="18" hidden="true">
      <c r="A301" s="72"/>
      <c r="B301" s="122"/>
      <c r="C301" s="122"/>
      <c r="D301" s="123">
        <f>D209</f>
        <v>23096.185</v>
      </c>
      <c r="E301" s="122"/>
      <c r="F301" s="132"/>
      <c r="G301" s="125"/>
      <c r="H301" s="122"/>
      <c r="J301" s="122"/>
      <c r="K301" s="122"/>
      <c r="L301" s="122"/>
      <c r="M301" s="122"/>
      <c r="AK301" s="76"/>
      <c r="AL301" s="97"/>
      <c r="AM301" s="97"/>
      <c r="AN301" s="97"/>
      <c r="AO301" s="97"/>
      <c r="AP301" s="97"/>
      <c r="AQ301" s="97"/>
      <c r="AR301" s="97"/>
      <c r="AS301" s="97"/>
      <c r="AT301" s="97"/>
      <c r="AU301" s="97"/>
      <c r="AV301" s="97"/>
      <c r="AW301" s="97"/>
    </row>
    <row r="302" spans="1:50" customHeight="1" ht="18" hidden="true">
      <c r="A302" s="72"/>
      <c r="B302" s="122"/>
      <c r="C302" s="122"/>
      <c r="D302" s="122">
        <f>D300-D301</f>
        <v>-1540.41604</v>
      </c>
      <c r="E302" s="122"/>
      <c r="F302" s="122"/>
      <c r="G302" s="122"/>
      <c r="H302" s="122"/>
      <c r="I302" s="128"/>
      <c r="J302" s="122"/>
      <c r="K302" s="122"/>
      <c r="L302" s="122"/>
      <c r="M302" s="122"/>
      <c r="AK302" s="72"/>
      <c r="AL302" s="122"/>
      <c r="AM302" s="97"/>
      <c r="AN302" s="97"/>
      <c r="AO302" s="97"/>
      <c r="AP302" s="97"/>
      <c r="AQ302" s="97"/>
      <c r="AR302" s="97"/>
      <c r="AS302" s="97"/>
      <c r="AT302" s="97"/>
      <c r="AU302" s="97"/>
      <c r="AV302" s="97"/>
      <c r="AW302" s="97"/>
    </row>
    <row r="303" spans="1:50" customHeight="1" ht="18">
      <c r="A303" s="72"/>
      <c r="B303" s="122"/>
      <c r="C303" s="122"/>
      <c r="D303" s="122"/>
      <c r="E303" s="122"/>
      <c r="F303" s="122"/>
      <c r="G303" s="122"/>
      <c r="H303" s="122"/>
      <c r="I303" s="133"/>
      <c r="J303" s="122"/>
      <c r="K303" s="122"/>
      <c r="L303" s="122"/>
      <c r="M303" s="122"/>
      <c r="AK303" s="72"/>
      <c r="AL303" s="127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</row>
    <row r="304" spans="1:50" customHeight="1" ht="18">
      <c r="A304" s="72"/>
      <c r="B304" s="122"/>
      <c r="C304" s="122"/>
      <c r="D304" s="122"/>
      <c r="E304" s="122"/>
      <c r="F304" s="122"/>
      <c r="G304" s="122"/>
      <c r="H304" s="122"/>
      <c r="I304" s="128"/>
      <c r="J304" s="122"/>
      <c r="K304" s="122"/>
      <c r="L304" s="122"/>
      <c r="M304" s="122"/>
      <c r="AK304" s="76"/>
      <c r="AL304" s="52"/>
      <c r="AM304" s="51"/>
      <c r="AN304" s="52"/>
      <c r="AO304" s="52"/>
      <c r="AP304" s="52"/>
      <c r="AQ304" s="52"/>
      <c r="AR304" s="52"/>
      <c r="AS304" s="128"/>
      <c r="AT304" s="52"/>
      <c r="AU304" s="52"/>
      <c r="AV304" s="52"/>
      <c r="AW304" s="52"/>
    </row>
    <row r="305" spans="1:50" customHeight="1" ht="18">
      <c r="A305" s="7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AK305" s="57"/>
      <c r="AL305" s="100"/>
      <c r="AM305" s="100"/>
      <c r="AN305" s="123"/>
      <c r="AO305" s="100"/>
      <c r="AP305" s="129"/>
      <c r="AQ305" s="125"/>
      <c r="AR305" s="100"/>
      <c r="AS305" s="130"/>
      <c r="AT305" s="131"/>
      <c r="AU305" s="100"/>
      <c r="AV305" s="100"/>
      <c r="AW305" s="100"/>
    </row>
    <row r="306" spans="1:50" customHeight="1" ht="18">
      <c r="A306" s="7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AK306" s="72"/>
      <c r="AL306" s="122"/>
      <c r="AM306" s="122"/>
      <c r="AN306" s="123"/>
      <c r="AO306" s="122"/>
      <c r="AP306" s="132"/>
      <c r="AQ306" s="125"/>
      <c r="AR306" s="122"/>
      <c r="AT306" s="122"/>
      <c r="AU306" s="122"/>
      <c r="AV306" s="122"/>
      <c r="AW306" s="122"/>
    </row>
    <row r="307" spans="1:50" customHeight="1" ht="18">
      <c r="A307" s="7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AK307" s="72"/>
      <c r="AL307" s="122"/>
      <c r="AM307" s="122"/>
      <c r="AN307" s="122"/>
      <c r="AO307" s="122"/>
      <c r="AP307" s="122"/>
      <c r="AQ307" s="122"/>
      <c r="AR307" s="122"/>
      <c r="AS307" s="128"/>
      <c r="AT307" s="122"/>
      <c r="AU307" s="122"/>
      <c r="AV307" s="122"/>
      <c r="AW307" s="122"/>
    </row>
    <row r="308" spans="1:50" customHeight="1" ht="18">
      <c r="A308" s="76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AK308" s="72"/>
      <c r="AL308" s="122"/>
      <c r="AM308" s="122"/>
      <c r="AN308" s="122"/>
      <c r="AO308" s="122"/>
      <c r="AP308" s="122"/>
      <c r="AQ308" s="122"/>
      <c r="AR308" s="122"/>
      <c r="AS308" s="133"/>
      <c r="AT308" s="122"/>
      <c r="AU308" s="122"/>
      <c r="AV308" s="122"/>
      <c r="AW308" s="122"/>
    </row>
    <row r="309" spans="1:50" customHeight="1" ht="18">
      <c r="A309" s="76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AK309" s="72"/>
      <c r="AL309" s="122"/>
      <c r="AM309" s="122"/>
      <c r="AN309" s="122"/>
      <c r="AO309" s="122"/>
      <c r="AP309" s="122"/>
      <c r="AQ309" s="122"/>
      <c r="AR309" s="122"/>
      <c r="AS309" s="128"/>
      <c r="AT309" s="122"/>
      <c r="AU309" s="122"/>
      <c r="AV309" s="122"/>
      <c r="AW309" s="122"/>
    </row>
    <row r="310" spans="1:50" customHeight="1" ht="18">
      <c r="A310" s="76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AK310" s="72"/>
      <c r="AL310" s="122"/>
      <c r="AM310" s="122"/>
      <c r="AN310" s="122"/>
      <c r="AO310" s="122"/>
      <c r="AP310" s="122"/>
      <c r="AQ310" s="122"/>
      <c r="AR310" s="122"/>
      <c r="AS310" s="122"/>
      <c r="AT310" s="122"/>
      <c r="AU310" s="122"/>
      <c r="AV310" s="122"/>
      <c r="AW310" s="122"/>
    </row>
    <row r="311" spans="1:50" customHeight="1" ht="18">
      <c r="A311" s="76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AK311" s="72"/>
      <c r="AL311" s="122"/>
      <c r="AM311" s="122"/>
      <c r="AN311" s="122"/>
      <c r="AO311" s="122"/>
      <c r="AP311" s="122"/>
      <c r="AQ311" s="122"/>
      <c r="AR311" s="122"/>
      <c r="AS311" s="122"/>
      <c r="AT311" s="122"/>
      <c r="AU311" s="122"/>
      <c r="AV311" s="122"/>
      <c r="AW311" s="122"/>
    </row>
    <row r="312" spans="1:50" customHeight="1" ht="18">
      <c r="A312" s="76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AK312" s="72"/>
      <c r="AL312" s="122"/>
      <c r="AM312" s="122"/>
      <c r="AN312" s="122"/>
      <c r="AO312" s="122"/>
      <c r="AP312" s="122"/>
      <c r="AQ312" s="122"/>
      <c r="AR312" s="122"/>
      <c r="AS312" s="122"/>
      <c r="AT312" s="122"/>
      <c r="AU312" s="122"/>
      <c r="AV312" s="122"/>
      <c r="AW312" s="122"/>
    </row>
    <row r="313" spans="1:50">
      <c r="A313" s="76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AK313" s="76"/>
      <c r="AL313" s="124"/>
      <c r="AM313" s="124"/>
      <c r="AN313" s="124"/>
      <c r="AO313" s="124"/>
      <c r="AP313" s="124"/>
      <c r="AQ313" s="124"/>
      <c r="AR313" s="124"/>
      <c r="AS313" s="124"/>
      <c r="AT313" s="124"/>
      <c r="AU313" s="124"/>
      <c r="AV313" s="124"/>
      <c r="AW313" s="124"/>
    </row>
    <row r="314" spans="1:50">
      <c r="A314" s="72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AK314" s="76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</row>
    <row r="315" spans="1:50" customHeight="1" ht="18">
      <c r="A315" s="76"/>
      <c r="B315" s="52"/>
      <c r="C315" s="51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AK315" s="76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</row>
    <row r="316" spans="1:50" customHeight="1" ht="18" hidden="true">
      <c r="A316" s="57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AK316" s="76"/>
      <c r="AL316" s="97"/>
      <c r="AM316" s="97"/>
      <c r="AN316" s="97"/>
      <c r="AO316" s="97"/>
      <c r="AP316" s="97"/>
      <c r="AQ316" s="97"/>
      <c r="AR316" s="97"/>
      <c r="AS316" s="97"/>
      <c r="AT316" s="97"/>
      <c r="AU316" s="97"/>
      <c r="AV316" s="97"/>
      <c r="AW316" s="97"/>
    </row>
    <row r="317" spans="1:50" hidden="true">
      <c r="A317" s="76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AK317" s="76"/>
      <c r="AL317" s="97"/>
      <c r="AM317" s="97"/>
      <c r="AN317" s="97"/>
      <c r="AO317" s="97"/>
      <c r="AP317" s="97"/>
      <c r="AQ317" s="97"/>
      <c r="AR317" s="97"/>
      <c r="AS317" s="97"/>
      <c r="AT317" s="97"/>
      <c r="AU317" s="97"/>
      <c r="AV317" s="97"/>
      <c r="AW317" s="97"/>
    </row>
    <row r="318" spans="1:50" hidden="true">
      <c r="A318" s="76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AK318" s="76"/>
      <c r="AL318" s="97"/>
      <c r="AM318" s="97"/>
      <c r="AN318" s="97"/>
      <c r="AO318" s="97"/>
      <c r="AP318" s="97"/>
      <c r="AQ318" s="97"/>
      <c r="AR318" s="97"/>
      <c r="AS318" s="97"/>
      <c r="AT318" s="97"/>
      <c r="AU318" s="97"/>
      <c r="AV318" s="97"/>
      <c r="AW318" s="97"/>
    </row>
    <row r="319" spans="1:50" hidden="true">
      <c r="A319" s="76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AK319" s="72"/>
      <c r="AL319" s="97"/>
      <c r="AM319" s="97"/>
      <c r="AN319" s="97"/>
      <c r="AO319" s="97"/>
      <c r="AP319" s="97"/>
      <c r="AQ319" s="97"/>
      <c r="AR319" s="97"/>
      <c r="AS319" s="97"/>
      <c r="AT319" s="97"/>
      <c r="AU319" s="97"/>
      <c r="AV319" s="97"/>
      <c r="AW319" s="97"/>
    </row>
    <row r="320" spans="1:50" customHeight="1" ht="18" hidden="true">
      <c r="A320" s="76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AK320" s="76"/>
      <c r="AL320" s="52"/>
      <c r="AM320" s="51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</row>
    <row r="321" spans="1:50" customHeight="1" ht="18" hidden="true">
      <c r="A321" s="76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AK321" s="57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</row>
    <row r="322" spans="1:50" hidden="true">
      <c r="A322" s="76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AK322" s="76"/>
      <c r="AL322" s="97"/>
      <c r="AM322" s="97"/>
      <c r="AN322" s="97"/>
      <c r="AO322" s="97"/>
      <c r="AP322" s="97"/>
      <c r="AQ322" s="97"/>
      <c r="AR322" s="97"/>
      <c r="AS322" s="97"/>
      <c r="AT322" s="97"/>
      <c r="AU322" s="97"/>
      <c r="AV322" s="97"/>
      <c r="AW322" s="97"/>
    </row>
    <row r="323" spans="1:50" hidden="true">
      <c r="A323" s="76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AK323" s="76"/>
      <c r="AL323" s="97"/>
      <c r="AM323" s="97"/>
      <c r="AN323" s="97"/>
      <c r="AO323" s="97"/>
      <c r="AP323" s="97"/>
      <c r="AQ323" s="97"/>
      <c r="AR323" s="97"/>
      <c r="AS323" s="97"/>
      <c r="AT323" s="97"/>
      <c r="AU323" s="97"/>
      <c r="AV323" s="97"/>
      <c r="AW323" s="97"/>
    </row>
    <row r="324" spans="1:50" hidden="true">
      <c r="A324" s="76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AK324" s="76"/>
      <c r="AL324" s="97"/>
      <c r="AM324" s="97"/>
      <c r="AN324" s="97"/>
      <c r="AO324" s="97"/>
      <c r="AP324" s="97"/>
      <c r="AQ324" s="97"/>
      <c r="AR324" s="97"/>
      <c r="AS324" s="97"/>
      <c r="AT324" s="97"/>
      <c r="AU324" s="97"/>
      <c r="AV324" s="97"/>
      <c r="AW324" s="97"/>
    </row>
    <row r="325" spans="1:50" hidden="true">
      <c r="A325" s="76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AK325" s="76"/>
      <c r="AL325" s="97"/>
      <c r="AM325" s="97"/>
      <c r="AN325" s="97"/>
      <c r="AO325" s="97"/>
      <c r="AP325" s="97"/>
      <c r="AQ325" s="97"/>
      <c r="AR325" s="97"/>
      <c r="AS325" s="97"/>
      <c r="AT325" s="97"/>
      <c r="AU325" s="97"/>
      <c r="AV325" s="97"/>
      <c r="AW325" s="97"/>
    </row>
    <row r="326" spans="1:50" hidden="true">
      <c r="A326" s="76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AK326" s="76"/>
      <c r="AL326" s="97"/>
      <c r="AM326" s="97"/>
      <c r="AN326" s="97"/>
      <c r="AO326" s="97"/>
      <c r="AP326" s="97"/>
      <c r="AQ326" s="97"/>
      <c r="AR326" s="97"/>
      <c r="AS326" s="97"/>
      <c r="AT326" s="97"/>
      <c r="AU326" s="97"/>
      <c r="AV326" s="97"/>
      <c r="AW326" s="97"/>
    </row>
    <row r="327" spans="1:50" hidden="true">
      <c r="A327" s="76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AK327" s="76"/>
      <c r="AL327" s="97"/>
      <c r="AM327" s="97"/>
      <c r="AN327" s="97"/>
      <c r="AO327" s="97"/>
      <c r="AP327" s="97"/>
      <c r="AQ327" s="97"/>
      <c r="AR327" s="97"/>
      <c r="AS327" s="97"/>
      <c r="AT327" s="97"/>
      <c r="AU327" s="97"/>
      <c r="AV327" s="97"/>
      <c r="AW327" s="97"/>
    </row>
    <row r="328" spans="1:50" hidden="true">
      <c r="A328" s="76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AK328" s="76"/>
      <c r="AL328" s="124"/>
      <c r="AM328" s="124"/>
      <c r="AN328" s="124"/>
      <c r="AO328" s="124"/>
      <c r="AP328" s="124"/>
      <c r="AQ328" s="124"/>
      <c r="AR328" s="124"/>
      <c r="AS328" s="124"/>
      <c r="AT328" s="124"/>
      <c r="AU328" s="124"/>
      <c r="AV328" s="124"/>
      <c r="AW328" s="124"/>
    </row>
    <row r="329" spans="1:50" hidden="true">
      <c r="A329" s="72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AK329" s="76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</row>
    <row r="330" spans="1:50" customHeight="1" ht="18" hidden="true">
      <c r="A330" s="76"/>
      <c r="B330" s="52"/>
      <c r="C330" s="51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AK330" s="76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</row>
    <row r="331" spans="1:50" customHeight="1" ht="18" hidden="true">
      <c r="A331" s="57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AK331" s="76"/>
      <c r="AL331" s="97"/>
      <c r="AM331" s="97"/>
      <c r="AN331" s="97"/>
      <c r="AO331" s="97"/>
      <c r="AP331" s="97"/>
      <c r="AQ331" s="97"/>
      <c r="AR331" s="97"/>
      <c r="AS331" s="97"/>
      <c r="AT331" s="97"/>
      <c r="AU331" s="97"/>
      <c r="AV331" s="97"/>
      <c r="AW331" s="97"/>
    </row>
    <row r="332" spans="1:50" hidden="true">
      <c r="A332" s="76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AK332" s="76"/>
      <c r="AL332" s="97"/>
      <c r="AM332" s="97"/>
      <c r="AN332" s="97"/>
      <c r="AO332" s="97"/>
      <c r="AP332" s="97"/>
      <c r="AQ332" s="97"/>
      <c r="AR332" s="97"/>
      <c r="AS332" s="97"/>
      <c r="AT332" s="97"/>
      <c r="AU332" s="97"/>
      <c r="AV332" s="97"/>
      <c r="AW332" s="97"/>
    </row>
    <row r="333" spans="1:50" hidden="true">
      <c r="A333" s="76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AK333" s="76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97"/>
      <c r="AW333" s="97"/>
    </row>
    <row r="334" spans="1:50" hidden="true">
      <c r="A334" s="76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AK334" s="72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97"/>
      <c r="AW334" s="97"/>
    </row>
    <row r="335" spans="1:50" customHeight="1" ht="18" hidden="true">
      <c r="A335" s="76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AK335" s="76"/>
      <c r="AL335" s="52"/>
      <c r="AM335" s="51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</row>
    <row r="336" spans="1:50" customHeight="1" ht="18" hidden="true">
      <c r="A336" s="76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AK336" s="57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</row>
    <row r="337" spans="1:50" hidden="true">
      <c r="A337" s="76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AK337" s="76"/>
      <c r="AL337" s="97"/>
      <c r="AM337" s="97"/>
      <c r="AN337" s="97"/>
      <c r="AO337" s="97"/>
      <c r="AP337" s="97"/>
      <c r="AQ337" s="97"/>
      <c r="AR337" s="97"/>
      <c r="AS337" s="97"/>
      <c r="AT337" s="97"/>
      <c r="AU337" s="97"/>
      <c r="AV337" s="97"/>
      <c r="AW337" s="97"/>
    </row>
    <row r="338" spans="1:50" hidden="true">
      <c r="A338" s="76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AK338" s="76"/>
      <c r="AL338" s="97"/>
      <c r="AM338" s="97"/>
      <c r="AN338" s="97"/>
      <c r="AO338" s="97"/>
      <c r="AP338" s="97"/>
      <c r="AQ338" s="97"/>
      <c r="AR338" s="97"/>
      <c r="AS338" s="97"/>
      <c r="AT338" s="97"/>
      <c r="AU338" s="97"/>
      <c r="AV338" s="97"/>
      <c r="AW338" s="97"/>
    </row>
    <row r="339" spans="1:50" hidden="true">
      <c r="A339" s="76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AK339" s="76"/>
      <c r="AL339" s="97"/>
      <c r="AM339" s="97"/>
      <c r="AN339" s="97"/>
      <c r="AO339" s="97"/>
      <c r="AP339" s="97"/>
      <c r="AQ339" s="97"/>
      <c r="AR339" s="97"/>
      <c r="AS339" s="97"/>
      <c r="AT339" s="97"/>
      <c r="AU339" s="97"/>
      <c r="AV339" s="97"/>
      <c r="AW339" s="97"/>
    </row>
    <row r="340" spans="1:50" hidden="true">
      <c r="A340" s="76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AK340" s="76"/>
      <c r="AL340" s="97"/>
      <c r="AM340" s="97"/>
      <c r="AN340" s="97"/>
      <c r="AO340" s="97"/>
      <c r="AP340" s="97"/>
      <c r="AQ340" s="97"/>
      <c r="AR340" s="97"/>
      <c r="AS340" s="97"/>
      <c r="AT340" s="97"/>
      <c r="AU340" s="97"/>
      <c r="AV340" s="97"/>
      <c r="AW340" s="97"/>
    </row>
    <row r="341" spans="1:50" hidden="true">
      <c r="A341" s="76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AK341" s="76"/>
      <c r="AL341" s="97"/>
      <c r="AM341" s="97"/>
      <c r="AN341" s="97"/>
      <c r="AO341" s="97"/>
      <c r="AP341" s="97"/>
      <c r="AQ341" s="97"/>
      <c r="AR341" s="97"/>
      <c r="AS341" s="97"/>
      <c r="AT341" s="97"/>
      <c r="AU341" s="97"/>
      <c r="AV341" s="97"/>
      <c r="AW341" s="97"/>
    </row>
    <row r="342" spans="1:50" hidden="true">
      <c r="A342" s="76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AK342" s="76"/>
      <c r="AL342" s="97"/>
      <c r="AM342" s="97"/>
      <c r="AN342" s="97"/>
      <c r="AO342" s="97"/>
      <c r="AP342" s="97"/>
      <c r="AQ342" s="97"/>
      <c r="AR342" s="97"/>
      <c r="AS342" s="97"/>
      <c r="AT342" s="97"/>
      <c r="AU342" s="97"/>
      <c r="AV342" s="97"/>
      <c r="AW342" s="97"/>
    </row>
    <row r="343" spans="1:50" hidden="true">
      <c r="A343" s="76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AK343" s="76"/>
      <c r="AL343" s="124"/>
      <c r="AM343" s="124"/>
      <c r="AN343" s="124"/>
      <c r="AO343" s="124"/>
      <c r="AP343" s="124"/>
      <c r="AQ343" s="124"/>
      <c r="AR343" s="124"/>
      <c r="AS343" s="124"/>
      <c r="AT343" s="124"/>
      <c r="AU343" s="124"/>
      <c r="AV343" s="124"/>
      <c r="AW343" s="124"/>
    </row>
    <row r="344" spans="1:50" customHeight="1" ht="18" hidden="true">
      <c r="A344" s="72"/>
      <c r="B344" s="122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AK344" s="76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</row>
    <row r="345" spans="1:50" customHeight="1" ht="18" hidden="true">
      <c r="A345" s="76"/>
      <c r="B345" s="52"/>
      <c r="C345" s="51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AK345" s="76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</row>
    <row r="346" spans="1:50" customHeight="1" ht="18" hidden="true">
      <c r="A346" s="57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AK346" s="76"/>
      <c r="AL346" s="97"/>
      <c r="AM346" s="97"/>
      <c r="AN346" s="97"/>
      <c r="AO346" s="97"/>
      <c r="AP346" s="97"/>
      <c r="AQ346" s="97"/>
      <c r="AR346" s="97"/>
      <c r="AS346" s="97"/>
      <c r="AT346" s="97"/>
      <c r="AU346" s="97"/>
      <c r="AV346" s="97"/>
      <c r="AW346" s="97"/>
    </row>
    <row r="347" spans="1:50" hidden="true">
      <c r="A347" s="76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AK347" s="76"/>
      <c r="AL347" s="97"/>
      <c r="AM347" s="97"/>
      <c r="AN347" s="97"/>
      <c r="AO347" s="97"/>
      <c r="AP347" s="97"/>
      <c r="AQ347" s="97"/>
      <c r="AR347" s="97"/>
      <c r="AS347" s="97"/>
      <c r="AT347" s="97"/>
      <c r="AU347" s="97"/>
      <c r="AV347" s="97"/>
      <c r="AW347" s="97"/>
    </row>
    <row r="348" spans="1:50" hidden="true">
      <c r="A348" s="76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AK348" s="76"/>
      <c r="AL348" s="97"/>
      <c r="AM348" s="97"/>
      <c r="AN348" s="97"/>
      <c r="AO348" s="97"/>
      <c r="AP348" s="97"/>
      <c r="AQ348" s="97"/>
      <c r="AR348" s="97"/>
      <c r="AS348" s="97"/>
      <c r="AT348" s="97"/>
      <c r="AU348" s="97"/>
      <c r="AV348" s="97"/>
      <c r="AW348" s="97"/>
    </row>
    <row r="349" spans="1:50" customHeight="1" ht="18" hidden="true">
      <c r="A349" s="76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AK349" s="72"/>
      <c r="AL349" s="122"/>
      <c r="AM349" s="97"/>
      <c r="AN349" s="97"/>
      <c r="AO349" s="97"/>
      <c r="AP349" s="97"/>
      <c r="AQ349" s="97"/>
      <c r="AR349" s="97"/>
      <c r="AS349" s="97"/>
      <c r="AT349" s="97"/>
      <c r="AU349" s="97"/>
      <c r="AV349" s="97"/>
      <c r="AW349" s="97"/>
    </row>
    <row r="350" spans="1:50" customHeight="1" ht="18" hidden="true">
      <c r="A350" s="76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AK350" s="76"/>
      <c r="AL350" s="52"/>
      <c r="AM350" s="51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</row>
    <row r="351" spans="1:50" customHeight="1" ht="18" hidden="true">
      <c r="A351" s="76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AK351" s="57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</row>
    <row r="352" spans="1:50" hidden="true">
      <c r="A352" s="76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AK352" s="76"/>
      <c r="AL352" s="97"/>
      <c r="AM352" s="97"/>
      <c r="AN352" s="97"/>
      <c r="AO352" s="97"/>
      <c r="AP352" s="97"/>
      <c r="AQ352" s="97"/>
      <c r="AR352" s="97"/>
      <c r="AS352" s="97"/>
      <c r="AT352" s="97"/>
      <c r="AU352" s="97"/>
      <c r="AV352" s="97"/>
      <c r="AW352" s="97"/>
    </row>
    <row r="353" spans="1:50" hidden="true">
      <c r="A353" s="76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AK353" s="76"/>
      <c r="AL353" s="97"/>
      <c r="AM353" s="97"/>
      <c r="AN353" s="97"/>
      <c r="AO353" s="97"/>
      <c r="AP353" s="97"/>
      <c r="AQ353" s="97"/>
      <c r="AR353" s="97"/>
      <c r="AS353" s="97"/>
      <c r="AT353" s="97"/>
      <c r="AU353" s="97"/>
      <c r="AV353" s="97"/>
      <c r="AW353" s="97"/>
    </row>
    <row r="354" spans="1:50" hidden="true">
      <c r="A354" s="76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AK354" s="76"/>
      <c r="AL354" s="97"/>
      <c r="AM354" s="97"/>
      <c r="AN354" s="97"/>
      <c r="AO354" s="97"/>
      <c r="AP354" s="97"/>
      <c r="AQ354" s="97"/>
      <c r="AR354" s="97"/>
      <c r="AS354" s="97"/>
      <c r="AT354" s="97"/>
      <c r="AU354" s="97"/>
      <c r="AV354" s="97"/>
      <c r="AW354" s="97"/>
    </row>
    <row r="355" spans="1:50" hidden="true">
      <c r="A355" s="76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AK355" s="76"/>
      <c r="AL355" s="97"/>
      <c r="AM355" s="97"/>
      <c r="AN355" s="97"/>
      <c r="AO355" s="97"/>
      <c r="AP355" s="97"/>
      <c r="AQ355" s="97"/>
      <c r="AR355" s="97"/>
      <c r="AS355" s="97"/>
      <c r="AT355" s="97"/>
      <c r="AU355" s="97"/>
      <c r="AV355" s="97"/>
      <c r="AW355" s="97"/>
    </row>
    <row r="356" spans="1:50" hidden="true">
      <c r="A356" s="76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AK356" s="76"/>
      <c r="AL356" s="97"/>
      <c r="AM356" s="97"/>
      <c r="AN356" s="97"/>
      <c r="AO356" s="97"/>
      <c r="AP356" s="97"/>
      <c r="AQ356" s="97"/>
      <c r="AR356" s="97"/>
      <c r="AS356" s="97"/>
      <c r="AT356" s="97"/>
      <c r="AU356" s="97"/>
      <c r="AV356" s="97"/>
      <c r="AW356" s="97"/>
    </row>
    <row r="357" spans="1:50" hidden="true">
      <c r="A357" s="76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AK357" s="76"/>
      <c r="AL357" s="97"/>
      <c r="AM357" s="97"/>
      <c r="AN357" s="97"/>
      <c r="AO357" s="97"/>
      <c r="AP357" s="97"/>
      <c r="AQ357" s="97"/>
      <c r="AR357" s="97"/>
      <c r="AS357" s="97"/>
      <c r="AT357" s="97"/>
      <c r="AU357" s="97"/>
      <c r="AV357" s="97"/>
      <c r="AW357" s="97"/>
    </row>
    <row r="358" spans="1:50" hidden="true">
      <c r="A358" s="76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AK358" s="76"/>
      <c r="AL358" s="124"/>
      <c r="AM358" s="124"/>
      <c r="AN358" s="124"/>
      <c r="AO358" s="124"/>
      <c r="AP358" s="124"/>
      <c r="AQ358" s="124"/>
      <c r="AR358" s="124"/>
      <c r="AS358" s="124"/>
      <c r="AT358" s="124"/>
      <c r="AU358" s="124"/>
      <c r="AV358" s="124"/>
      <c r="AW358" s="124"/>
    </row>
    <row r="359" spans="1:50" customHeight="1" ht="18" hidden="true">
      <c r="A359" s="72"/>
      <c r="B359" s="122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AK359" s="76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</row>
    <row r="360" spans="1:50" customHeight="1" ht="18" hidden="true">
      <c r="A360" s="76"/>
      <c r="B360" s="52"/>
      <c r="C360" s="51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AK360" s="76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</row>
    <row r="361" spans="1:50" customHeight="1" ht="18" hidden="true">
      <c r="A361" s="57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AK361" s="76"/>
      <c r="AL361" s="97"/>
      <c r="AM361" s="97"/>
      <c r="AN361" s="97"/>
      <c r="AO361" s="97"/>
      <c r="AP361" s="97"/>
      <c r="AQ361" s="97"/>
      <c r="AR361" s="97"/>
      <c r="AS361" s="97"/>
      <c r="AT361" s="97"/>
      <c r="AU361" s="97"/>
      <c r="AV361" s="97"/>
      <c r="AW361" s="97"/>
    </row>
    <row r="362" spans="1:50" hidden="true">
      <c r="A362" s="76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AK362" s="76"/>
      <c r="AL362" s="97"/>
      <c r="AM362" s="97"/>
      <c r="AN362" s="97"/>
      <c r="AO362" s="97"/>
      <c r="AP362" s="97"/>
      <c r="AQ362" s="97"/>
      <c r="AR362" s="97"/>
      <c r="AS362" s="97"/>
      <c r="AT362" s="97"/>
      <c r="AU362" s="97"/>
      <c r="AV362" s="97"/>
      <c r="AW362" s="97"/>
    </row>
    <row r="363" spans="1:50" hidden="true">
      <c r="A363" s="76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AK363" s="76"/>
      <c r="AL363" s="97"/>
      <c r="AM363" s="97"/>
      <c r="AN363" s="97"/>
      <c r="AO363" s="97"/>
      <c r="AP363" s="97"/>
      <c r="AQ363" s="97"/>
      <c r="AR363" s="97"/>
      <c r="AS363" s="97"/>
      <c r="AT363" s="97"/>
      <c r="AU363" s="97"/>
      <c r="AV363" s="97"/>
      <c r="AW363" s="97"/>
    </row>
    <row r="364" spans="1:50" customHeight="1" ht="18" hidden="true">
      <c r="A364" s="76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AK364" s="72"/>
      <c r="AL364" s="122"/>
      <c r="AM364" s="97"/>
      <c r="AN364" s="97"/>
      <c r="AO364" s="97"/>
      <c r="AP364" s="97"/>
      <c r="AQ364" s="97"/>
      <c r="AR364" s="97"/>
      <c r="AS364" s="97"/>
      <c r="AT364" s="97"/>
      <c r="AU364" s="97"/>
      <c r="AV364" s="97"/>
      <c r="AW364" s="97"/>
    </row>
    <row r="365" spans="1:50" customHeight="1" ht="18" hidden="true">
      <c r="A365" s="76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AK365" s="76"/>
      <c r="AL365" s="52"/>
      <c r="AM365" s="51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</row>
    <row r="366" spans="1:50" customHeight="1" ht="18" hidden="true">
      <c r="A366" s="76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AK366" s="57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</row>
    <row r="367" spans="1:50" hidden="true">
      <c r="A367" s="76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AK367" s="76"/>
      <c r="AL367" s="97"/>
      <c r="AM367" s="97"/>
      <c r="AN367" s="97"/>
      <c r="AO367" s="97"/>
      <c r="AP367" s="97"/>
      <c r="AQ367" s="97"/>
      <c r="AR367" s="97"/>
      <c r="AS367" s="97"/>
      <c r="AT367" s="97"/>
      <c r="AU367" s="97"/>
      <c r="AV367" s="97"/>
      <c r="AW367" s="97"/>
    </row>
    <row r="368" spans="1:50" hidden="true">
      <c r="A368" s="76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AK368" s="76"/>
      <c r="AL368" s="97"/>
      <c r="AM368" s="97"/>
      <c r="AN368" s="97"/>
      <c r="AO368" s="97"/>
      <c r="AP368" s="97"/>
      <c r="AQ368" s="97"/>
      <c r="AR368" s="97"/>
      <c r="AS368" s="97"/>
      <c r="AT368" s="97"/>
      <c r="AU368" s="97"/>
      <c r="AV368" s="97"/>
      <c r="AW368" s="97"/>
    </row>
    <row r="369" spans="1:50" hidden="true">
      <c r="A369" s="76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AK369" s="76"/>
      <c r="AL369" s="97"/>
      <c r="AM369" s="97"/>
      <c r="AN369" s="97"/>
      <c r="AO369" s="97"/>
      <c r="AP369" s="97"/>
      <c r="AQ369" s="97"/>
      <c r="AR369" s="97"/>
      <c r="AS369" s="97"/>
      <c r="AT369" s="97"/>
      <c r="AU369" s="97"/>
      <c r="AV369" s="97"/>
      <c r="AW369" s="97"/>
    </row>
    <row r="370" spans="1:50" hidden="true">
      <c r="A370" s="76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AK370" s="76"/>
      <c r="AL370" s="97"/>
      <c r="AM370" s="97"/>
      <c r="AN370" s="97"/>
      <c r="AO370" s="97"/>
      <c r="AP370" s="97"/>
      <c r="AQ370" s="97"/>
      <c r="AR370" s="97"/>
      <c r="AS370" s="97"/>
      <c r="AT370" s="97"/>
      <c r="AU370" s="97"/>
      <c r="AV370" s="97"/>
      <c r="AW370" s="97"/>
    </row>
    <row r="371" spans="1:50" hidden="true">
      <c r="A371" s="76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AK371" s="76"/>
      <c r="AL371" s="97"/>
      <c r="AM371" s="97"/>
      <c r="AN371" s="97"/>
      <c r="AO371" s="97"/>
      <c r="AP371" s="97"/>
      <c r="AQ371" s="97"/>
      <c r="AR371" s="97"/>
      <c r="AS371" s="97"/>
      <c r="AT371" s="97"/>
      <c r="AU371" s="97"/>
      <c r="AV371" s="97"/>
      <c r="AW371" s="97"/>
    </row>
    <row r="372" spans="1:50" hidden="true">
      <c r="A372" s="76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AK372" s="76"/>
      <c r="AL372" s="97"/>
      <c r="AM372" s="97"/>
      <c r="AN372" s="97"/>
      <c r="AO372" s="97"/>
      <c r="AP372" s="97"/>
      <c r="AQ372" s="97"/>
      <c r="AR372" s="97"/>
      <c r="AS372" s="97"/>
      <c r="AT372" s="97"/>
      <c r="AU372" s="97"/>
      <c r="AV372" s="97"/>
      <c r="AW372" s="97"/>
    </row>
    <row r="373" spans="1:50" hidden="true">
      <c r="A373" s="76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AK373" s="76"/>
      <c r="AL373" s="124"/>
      <c r="AM373" s="124"/>
      <c r="AN373" s="124"/>
      <c r="AO373" s="124"/>
      <c r="AP373" s="124"/>
      <c r="AQ373" s="124"/>
      <c r="AR373" s="124"/>
      <c r="AS373" s="124"/>
      <c r="AT373" s="124"/>
      <c r="AU373" s="124"/>
      <c r="AV373" s="124"/>
      <c r="AW373" s="124"/>
    </row>
    <row r="374" spans="1:50" customHeight="1" ht="18" hidden="true">
      <c r="A374" s="72"/>
      <c r="B374" s="122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AK374" s="76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</row>
    <row r="375" spans="1:50" customHeight="1" ht="18" hidden="true">
      <c r="A375" s="76"/>
      <c r="B375" s="52"/>
      <c r="C375" s="51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AK375" s="76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</row>
    <row r="376" spans="1:50" customHeight="1" ht="18" hidden="true">
      <c r="A376" s="57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AK376" s="76"/>
      <c r="AL376" s="97"/>
      <c r="AM376" s="97"/>
      <c r="AN376" s="97"/>
      <c r="AO376" s="97"/>
      <c r="AP376" s="97"/>
      <c r="AQ376" s="97"/>
      <c r="AR376" s="97"/>
      <c r="AS376" s="97"/>
      <c r="AT376" s="97"/>
      <c r="AU376" s="97"/>
      <c r="AV376" s="97"/>
      <c r="AW376" s="97"/>
    </row>
    <row r="377" spans="1:50" hidden="true">
      <c r="A377" s="76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AK377" s="76"/>
      <c r="AL377" s="97"/>
      <c r="AM377" s="97"/>
      <c r="AN377" s="97"/>
      <c r="AO377" s="97"/>
      <c r="AP377" s="97"/>
      <c r="AQ377" s="97"/>
      <c r="AR377" s="97"/>
      <c r="AS377" s="97"/>
      <c r="AT377" s="97"/>
      <c r="AU377" s="97"/>
      <c r="AV377" s="97"/>
      <c r="AW377" s="97"/>
    </row>
    <row r="378" spans="1:50" hidden="true">
      <c r="A378" s="76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AK378" s="76"/>
      <c r="AL378" s="97"/>
      <c r="AM378" s="97"/>
      <c r="AN378" s="97"/>
      <c r="AO378" s="97"/>
      <c r="AP378" s="97"/>
      <c r="AQ378" s="97"/>
      <c r="AR378" s="97"/>
      <c r="AS378" s="97"/>
      <c r="AT378" s="97"/>
      <c r="AU378" s="97"/>
      <c r="AV378" s="97"/>
      <c r="AW378" s="97"/>
    </row>
    <row r="379" spans="1:50" customHeight="1" ht="18" hidden="true">
      <c r="A379" s="76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AK379" s="72"/>
      <c r="AL379" s="122"/>
      <c r="AM379" s="97"/>
      <c r="AN379" s="97"/>
      <c r="AO379" s="97"/>
      <c r="AP379" s="97"/>
      <c r="AQ379" s="97"/>
      <c r="AR379" s="97"/>
      <c r="AS379" s="97"/>
      <c r="AT379" s="97"/>
      <c r="AU379" s="97"/>
      <c r="AV379" s="97"/>
      <c r="AW379" s="97"/>
    </row>
    <row r="380" spans="1:50" customHeight="1" ht="18" hidden="true">
      <c r="A380" s="76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AK380" s="76"/>
      <c r="AL380" s="52"/>
      <c r="AM380" s="51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</row>
    <row r="381" spans="1:50" customHeight="1" ht="18" hidden="true">
      <c r="A381" s="76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AK381" s="57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</row>
    <row r="382" spans="1:50" hidden="true">
      <c r="A382" s="76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AK382" s="76"/>
      <c r="AL382" s="97"/>
      <c r="AM382" s="97"/>
      <c r="AN382" s="97"/>
      <c r="AO382" s="97"/>
      <c r="AP382" s="97"/>
      <c r="AQ382" s="97"/>
      <c r="AR382" s="97"/>
      <c r="AS382" s="97"/>
      <c r="AT382" s="97"/>
      <c r="AU382" s="97"/>
      <c r="AV382" s="97"/>
      <c r="AW382" s="97"/>
    </row>
    <row r="383" spans="1:50" hidden="true">
      <c r="A383" s="76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AK383" s="76"/>
      <c r="AL383" s="97"/>
      <c r="AM383" s="97"/>
      <c r="AN383" s="97"/>
      <c r="AO383" s="97"/>
      <c r="AP383" s="97"/>
      <c r="AQ383" s="97"/>
      <c r="AR383" s="97"/>
      <c r="AS383" s="97"/>
      <c r="AT383" s="97"/>
      <c r="AU383" s="97"/>
      <c r="AV383" s="97"/>
      <c r="AW383" s="97"/>
    </row>
    <row r="384" spans="1:50" hidden="true">
      <c r="A384" s="76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AK384" s="76"/>
      <c r="AL384" s="97"/>
      <c r="AM384" s="97"/>
      <c r="AN384" s="97"/>
      <c r="AO384" s="97"/>
      <c r="AP384" s="97"/>
      <c r="AQ384" s="97"/>
      <c r="AR384" s="97"/>
      <c r="AS384" s="97"/>
      <c r="AT384" s="97"/>
      <c r="AU384" s="97"/>
      <c r="AV384" s="97"/>
      <c r="AW384" s="97"/>
    </row>
    <row r="385" spans="1:50" hidden="true">
      <c r="A385" s="76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AK385" s="76"/>
      <c r="AL385" s="97"/>
      <c r="AM385" s="97"/>
      <c r="AN385" s="97"/>
      <c r="AO385" s="97"/>
      <c r="AP385" s="97"/>
      <c r="AQ385" s="97"/>
      <c r="AR385" s="97"/>
      <c r="AS385" s="97"/>
      <c r="AT385" s="97"/>
      <c r="AU385" s="97"/>
      <c r="AV385" s="97"/>
      <c r="AW385" s="97"/>
    </row>
    <row r="386" spans="1:50" hidden="true">
      <c r="A386" s="76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AK386" s="76"/>
      <c r="AL386" s="97"/>
      <c r="AM386" s="97"/>
      <c r="AN386" s="97"/>
      <c r="AO386" s="97"/>
      <c r="AP386" s="97"/>
      <c r="AQ386" s="97"/>
      <c r="AR386" s="97"/>
      <c r="AS386" s="97"/>
      <c r="AT386" s="97"/>
      <c r="AU386" s="97"/>
      <c r="AV386" s="97"/>
      <c r="AW386" s="97"/>
    </row>
    <row r="387" spans="1:50" hidden="true">
      <c r="A387" s="76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AK387" s="76"/>
      <c r="AL387" s="97"/>
      <c r="AM387" s="97"/>
      <c r="AN387" s="97"/>
      <c r="AO387" s="97"/>
      <c r="AP387" s="97"/>
      <c r="AQ387" s="97"/>
      <c r="AR387" s="97"/>
      <c r="AS387" s="97"/>
      <c r="AT387" s="97"/>
      <c r="AU387" s="97"/>
      <c r="AV387" s="97"/>
      <c r="AW387" s="97"/>
    </row>
    <row r="388" spans="1:50" hidden="true">
      <c r="A388" s="76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AK388" s="76"/>
      <c r="AL388" s="124"/>
      <c r="AM388" s="124"/>
      <c r="AN388" s="124"/>
      <c r="AO388" s="124"/>
      <c r="AP388" s="124"/>
      <c r="AQ388" s="124"/>
      <c r="AR388" s="124"/>
      <c r="AS388" s="124"/>
      <c r="AT388" s="124"/>
      <c r="AU388" s="124"/>
      <c r="AV388" s="124"/>
      <c r="AW388" s="124"/>
    </row>
    <row r="389" spans="1:50" customHeight="1" ht="18" hidden="true">
      <c r="A389" s="72"/>
      <c r="B389" s="127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AK389" s="76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</row>
    <row r="390" spans="1:50" hidden="true">
      <c r="A390" s="76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AK390" s="76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</row>
    <row r="391" spans="1:50" customHeight="1" ht="18" hidden="true">
      <c r="A391" s="76"/>
      <c r="B391" s="52"/>
      <c r="C391" s="51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AK391" s="76"/>
      <c r="AL391" s="97"/>
      <c r="AM391" s="97"/>
      <c r="AN391" s="97"/>
      <c r="AO391" s="97"/>
      <c r="AP391" s="97"/>
      <c r="AQ391" s="97"/>
      <c r="AR391" s="97"/>
      <c r="AS391" s="97"/>
      <c r="AT391" s="97"/>
      <c r="AU391" s="97"/>
      <c r="AV391" s="97"/>
      <c r="AW391" s="97"/>
    </row>
    <row r="392" spans="1:50" customHeight="1" ht="18" hidden="true">
      <c r="A392" s="115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AK392" s="76"/>
      <c r="AL392" s="97"/>
      <c r="AM392" s="97"/>
      <c r="AN392" s="97"/>
      <c r="AO392" s="97"/>
      <c r="AP392" s="97"/>
      <c r="AQ392" s="97"/>
      <c r="AR392" s="97"/>
      <c r="AS392" s="97"/>
      <c r="AT392" s="97"/>
      <c r="AU392" s="97"/>
      <c r="AV392" s="97"/>
      <c r="AW392" s="97"/>
    </row>
    <row r="393" spans="1:50" customHeight="1" ht="18">
      <c r="A393" s="7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AK393" s="76"/>
      <c r="AL393" s="97"/>
      <c r="AM393" s="97"/>
      <c r="AN393" s="97"/>
      <c r="AO393" s="97"/>
      <c r="AP393" s="97"/>
      <c r="AQ393" s="97"/>
      <c r="AR393" s="97"/>
      <c r="AS393" s="97"/>
      <c r="AT393" s="97"/>
      <c r="AU393" s="97"/>
      <c r="AV393" s="97"/>
      <c r="AW393" s="97"/>
    </row>
    <row r="394" spans="1:50" customHeight="1" ht="18">
      <c r="A394" s="7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AK394" s="72"/>
      <c r="AL394" s="127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</row>
    <row r="395" spans="1:50" customHeight="1" ht="18">
      <c r="A395" s="7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AK395" s="76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</row>
    <row r="396" spans="1:50" customHeight="1" ht="18">
      <c r="A396" s="7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AK396" s="76"/>
      <c r="AL396" s="52"/>
      <c r="AM396" s="51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</row>
    <row r="397" spans="1:50" customHeight="1" ht="18">
      <c r="A397" s="7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AK397" s="115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</row>
    <row r="398" spans="1:50" customHeight="1" ht="18">
      <c r="A398" s="7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AK398" s="72"/>
      <c r="AL398" s="122"/>
      <c r="AM398" s="122"/>
      <c r="AN398" s="122"/>
      <c r="AO398" s="122"/>
      <c r="AP398" s="122"/>
      <c r="AQ398" s="122"/>
      <c r="AR398" s="122"/>
      <c r="AS398" s="122"/>
      <c r="AT398" s="122"/>
      <c r="AU398" s="122"/>
      <c r="AV398" s="122"/>
      <c r="AW398" s="122"/>
    </row>
    <row r="399" spans="1:50" customHeight="1" ht="18">
      <c r="A399" s="7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AK399" s="72"/>
      <c r="AL399" s="122"/>
      <c r="AM399" s="122"/>
      <c r="AN399" s="122"/>
      <c r="AO399" s="122"/>
      <c r="AP399" s="122"/>
      <c r="AQ399" s="122"/>
      <c r="AR399" s="122"/>
      <c r="AS399" s="122"/>
      <c r="AT399" s="122"/>
      <c r="AU399" s="122"/>
      <c r="AV399" s="122"/>
      <c r="AW399" s="122"/>
    </row>
    <row r="400" spans="1:50" customHeight="1" ht="18">
      <c r="A400" s="76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AK400" s="72"/>
      <c r="AL400" s="122"/>
      <c r="AM400" s="122"/>
      <c r="AN400" s="122"/>
      <c r="AO400" s="122"/>
      <c r="AP400" s="122"/>
      <c r="AQ400" s="122"/>
      <c r="AR400" s="122"/>
      <c r="AS400" s="122"/>
      <c r="AT400" s="122"/>
      <c r="AU400" s="122"/>
      <c r="AV400" s="122"/>
      <c r="AW400" s="122"/>
    </row>
    <row r="401" spans="1:50" customHeight="1" ht="18">
      <c r="A401" s="76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AK401" s="72"/>
      <c r="AL401" s="122"/>
      <c r="AM401" s="122"/>
      <c r="AN401" s="122"/>
      <c r="AO401" s="122"/>
      <c r="AP401" s="122"/>
      <c r="AQ401" s="122"/>
      <c r="AR401" s="122"/>
      <c r="AS401" s="122"/>
      <c r="AT401" s="122"/>
      <c r="AU401" s="122"/>
      <c r="AV401" s="122"/>
      <c r="AW401" s="122"/>
    </row>
    <row r="402" spans="1:50" customHeight="1" ht="18">
      <c r="A402" s="76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AK402" s="72"/>
      <c r="AL402" s="122"/>
      <c r="AM402" s="122"/>
      <c r="AN402" s="122"/>
      <c r="AO402" s="122"/>
      <c r="AP402" s="122"/>
      <c r="AQ402" s="122"/>
      <c r="AR402" s="122"/>
      <c r="AS402" s="122"/>
      <c r="AT402" s="122"/>
      <c r="AU402" s="122"/>
      <c r="AV402" s="122"/>
      <c r="AW402" s="122"/>
    </row>
    <row r="403" spans="1:50" customHeight="1" ht="18">
      <c r="A403" s="76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AK403" s="72"/>
      <c r="AL403" s="122"/>
      <c r="AM403" s="122"/>
      <c r="AN403" s="122"/>
      <c r="AO403" s="122"/>
      <c r="AP403" s="122"/>
      <c r="AQ403" s="122"/>
      <c r="AR403" s="122"/>
      <c r="AS403" s="122"/>
      <c r="AT403" s="122"/>
      <c r="AU403" s="122"/>
      <c r="AV403" s="122"/>
      <c r="AW403" s="122"/>
    </row>
    <row r="404" spans="1:50" customHeight="1" ht="18">
      <c r="A404" s="76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AK404" s="72"/>
      <c r="AL404" s="122"/>
      <c r="AM404" s="122"/>
      <c r="AN404" s="122"/>
      <c r="AO404" s="122"/>
      <c r="AP404" s="122"/>
      <c r="AQ404" s="122"/>
      <c r="AR404" s="122"/>
      <c r="AS404" s="122"/>
      <c r="AT404" s="122"/>
      <c r="AU404" s="122"/>
      <c r="AV404" s="122"/>
      <c r="AW404" s="122"/>
    </row>
    <row r="405" spans="1:50">
      <c r="A405" s="76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AK405" s="76"/>
      <c r="AL405" s="124"/>
      <c r="AM405" s="124"/>
      <c r="AN405" s="124"/>
      <c r="AO405" s="124"/>
      <c r="AP405" s="124"/>
      <c r="AQ405" s="124"/>
      <c r="AR405" s="124"/>
      <c r="AS405" s="124"/>
      <c r="AT405" s="124"/>
      <c r="AU405" s="124"/>
      <c r="AV405" s="124"/>
      <c r="AW405" s="124"/>
    </row>
    <row r="406" spans="1:50">
      <c r="A406" s="72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AK406" s="76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</row>
    <row r="407" spans="1:50" customHeight="1" ht="18">
      <c r="A407" s="76"/>
      <c r="B407" s="52"/>
      <c r="C407" s="51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AK407" s="76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</row>
    <row r="408" spans="1:50" customHeight="1" ht="18">
      <c r="A408" s="57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AK408" s="76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97"/>
      <c r="AW408" s="97"/>
    </row>
    <row r="409" spans="1:50">
      <c r="A409" s="76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AK409" s="76"/>
      <c r="AL409" s="97"/>
      <c r="AM409" s="97"/>
      <c r="AN409" s="97"/>
      <c r="AO409" s="97"/>
      <c r="AP409" s="97"/>
      <c r="AQ409" s="97"/>
      <c r="AR409" s="97"/>
      <c r="AS409" s="97"/>
      <c r="AT409" s="97"/>
      <c r="AU409" s="97"/>
      <c r="AV409" s="97"/>
      <c r="AW409" s="97"/>
    </row>
    <row r="410" spans="1:50" hidden="true">
      <c r="A410" s="76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AK410" s="76"/>
      <c r="AL410" s="97"/>
      <c r="AM410" s="97"/>
      <c r="AN410" s="97"/>
      <c r="AO410" s="97"/>
      <c r="AP410" s="97"/>
      <c r="AQ410" s="97"/>
      <c r="AR410" s="97"/>
      <c r="AS410" s="97"/>
      <c r="AT410" s="97"/>
      <c r="AU410" s="97"/>
      <c r="AV410" s="97"/>
      <c r="AW410" s="97"/>
    </row>
    <row r="411" spans="1:50" hidden="true">
      <c r="A411" s="76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AK411" s="72"/>
      <c r="AL411" s="97"/>
      <c r="AM411" s="97"/>
      <c r="AN411" s="97"/>
      <c r="AO411" s="97"/>
      <c r="AP411" s="97"/>
      <c r="AQ411" s="97"/>
      <c r="AR411" s="97"/>
      <c r="AS411" s="97"/>
      <c r="AT411" s="97"/>
      <c r="AU411" s="97"/>
      <c r="AV411" s="97"/>
      <c r="AW411" s="97"/>
    </row>
    <row r="412" spans="1:50" customHeight="1" ht="18" hidden="true">
      <c r="A412" s="76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AK412" s="76"/>
      <c r="AL412" s="52"/>
      <c r="AM412" s="51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</row>
    <row r="413" spans="1:50" customHeight="1" ht="18" hidden="true">
      <c r="A413" s="76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AK413" s="57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</row>
    <row r="414" spans="1:50" hidden="true">
      <c r="A414" s="76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AK414" s="76"/>
      <c r="AL414" s="97"/>
      <c r="AM414" s="97"/>
      <c r="AN414" s="97"/>
      <c r="AO414" s="97"/>
      <c r="AP414" s="97"/>
      <c r="AQ414" s="97"/>
      <c r="AR414" s="97"/>
      <c r="AS414" s="97"/>
      <c r="AT414" s="97"/>
      <c r="AU414" s="97"/>
      <c r="AV414" s="97"/>
      <c r="AW414" s="97"/>
    </row>
    <row r="415" spans="1:50" hidden="true">
      <c r="A415" s="76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AK415" s="76"/>
      <c r="AL415" s="97"/>
      <c r="AM415" s="97"/>
      <c r="AN415" s="97"/>
      <c r="AO415" s="97"/>
      <c r="AP415" s="97"/>
      <c r="AQ415" s="97"/>
      <c r="AR415" s="97"/>
      <c r="AS415" s="97"/>
      <c r="AT415" s="97"/>
      <c r="AU415" s="97"/>
      <c r="AV415" s="97"/>
      <c r="AW415" s="97"/>
    </row>
    <row r="416" spans="1:50" hidden="true">
      <c r="A416" s="76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AK416" s="76"/>
      <c r="AL416" s="97"/>
      <c r="AM416" s="97"/>
      <c r="AN416" s="97"/>
      <c r="AO416" s="97"/>
      <c r="AP416" s="97"/>
      <c r="AQ416" s="97"/>
      <c r="AR416" s="97"/>
      <c r="AS416" s="97"/>
      <c r="AT416" s="97"/>
      <c r="AU416" s="97"/>
      <c r="AV416" s="97"/>
      <c r="AW416" s="97"/>
    </row>
    <row r="417" spans="1:50" hidden="true">
      <c r="A417" s="76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AK417" s="76"/>
      <c r="AL417" s="97"/>
      <c r="AM417" s="97"/>
      <c r="AN417" s="97"/>
      <c r="AO417" s="97"/>
      <c r="AP417" s="97"/>
      <c r="AQ417" s="97"/>
      <c r="AR417" s="97"/>
      <c r="AS417" s="97"/>
      <c r="AT417" s="97"/>
      <c r="AU417" s="97"/>
      <c r="AV417" s="97"/>
      <c r="AW417" s="97"/>
    </row>
    <row r="418" spans="1:50" hidden="true">
      <c r="A418" s="76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AK418" s="76"/>
      <c r="AL418" s="97"/>
      <c r="AM418" s="97"/>
      <c r="AN418" s="97"/>
      <c r="AO418" s="97"/>
      <c r="AP418" s="97"/>
      <c r="AQ418" s="97"/>
      <c r="AR418" s="97"/>
      <c r="AS418" s="97"/>
      <c r="AT418" s="97"/>
      <c r="AU418" s="97"/>
      <c r="AV418" s="97"/>
      <c r="AW418" s="97"/>
    </row>
    <row r="419" spans="1:50" hidden="true">
      <c r="A419" s="76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AK419" s="76"/>
      <c r="AL419" s="97"/>
      <c r="AM419" s="97"/>
      <c r="AN419" s="97"/>
      <c r="AO419" s="97"/>
      <c r="AP419" s="97"/>
      <c r="AQ419" s="97"/>
      <c r="AR419" s="97"/>
      <c r="AS419" s="97"/>
      <c r="AT419" s="97"/>
      <c r="AU419" s="97"/>
      <c r="AV419" s="97"/>
      <c r="AW419" s="97"/>
    </row>
    <row r="420" spans="1:50" hidden="true">
      <c r="A420" s="76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AK420" s="76"/>
      <c r="AL420" s="124"/>
      <c r="AM420" s="124"/>
      <c r="AN420" s="124"/>
      <c r="AO420" s="124"/>
      <c r="AP420" s="124"/>
      <c r="AQ420" s="124"/>
      <c r="AR420" s="124"/>
      <c r="AS420" s="124"/>
      <c r="AT420" s="124"/>
      <c r="AU420" s="124"/>
      <c r="AV420" s="124"/>
      <c r="AW420" s="124"/>
    </row>
    <row r="421" spans="1:50" customHeight="1" ht="18" hidden="true">
      <c r="A421" s="72"/>
      <c r="B421" s="122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AK421" s="76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</row>
    <row r="422" spans="1:50" customHeight="1" ht="18" hidden="true">
      <c r="A422" s="76"/>
      <c r="B422" s="52"/>
      <c r="C422" s="51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AK422" s="76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</row>
    <row r="423" spans="1:50" customHeight="1" ht="18" hidden="true">
      <c r="A423" s="57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AK423" s="76"/>
      <c r="AL423" s="97"/>
      <c r="AM423" s="97"/>
      <c r="AN423" s="97"/>
      <c r="AO423" s="97"/>
      <c r="AP423" s="97"/>
      <c r="AQ423" s="97"/>
      <c r="AR423" s="97"/>
      <c r="AS423" s="97"/>
      <c r="AT423" s="97"/>
      <c r="AU423" s="97"/>
      <c r="AV423" s="97"/>
      <c r="AW423" s="97"/>
    </row>
    <row r="424" spans="1:50" hidden="true">
      <c r="A424" s="76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AK424" s="76"/>
      <c r="AL424" s="97"/>
      <c r="AM424" s="97"/>
      <c r="AN424" s="97"/>
      <c r="AO424" s="97"/>
      <c r="AP424" s="97"/>
      <c r="AQ424" s="97"/>
      <c r="AR424" s="97"/>
      <c r="AS424" s="97"/>
      <c r="AT424" s="97"/>
      <c r="AU424" s="97"/>
      <c r="AV424" s="97"/>
      <c r="AW424" s="97"/>
    </row>
    <row r="425" spans="1:50" hidden="true">
      <c r="A425" s="76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AK425" s="76"/>
      <c r="AL425" s="97"/>
      <c r="AM425" s="97"/>
      <c r="AN425" s="97"/>
      <c r="AO425" s="97"/>
      <c r="AP425" s="97"/>
      <c r="AQ425" s="97"/>
      <c r="AR425" s="97"/>
      <c r="AS425" s="97"/>
      <c r="AT425" s="97"/>
      <c r="AU425" s="97"/>
      <c r="AV425" s="97"/>
      <c r="AW425" s="97"/>
    </row>
    <row r="426" spans="1:50" customHeight="1" ht="18" hidden="true">
      <c r="A426" s="76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AK426" s="72"/>
      <c r="AL426" s="122"/>
      <c r="AM426" s="97"/>
      <c r="AN426" s="97"/>
      <c r="AO426" s="97"/>
      <c r="AP426" s="97"/>
      <c r="AQ426" s="97"/>
      <c r="AR426" s="97"/>
      <c r="AS426" s="97"/>
      <c r="AT426" s="97"/>
      <c r="AU426" s="97"/>
      <c r="AV426" s="97"/>
      <c r="AW426" s="97"/>
    </row>
    <row r="427" spans="1:50" customHeight="1" ht="18" hidden="true">
      <c r="A427" s="76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AK427" s="76"/>
      <c r="AL427" s="52"/>
      <c r="AM427" s="51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</row>
    <row r="428" spans="1:50" customHeight="1" ht="18" hidden="true">
      <c r="A428" s="76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AK428" s="57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</row>
    <row r="429" spans="1:50" hidden="true">
      <c r="A429" s="76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AK429" s="76"/>
      <c r="AL429" s="97"/>
      <c r="AM429" s="97"/>
      <c r="AN429" s="97"/>
      <c r="AO429" s="97"/>
      <c r="AP429" s="97"/>
      <c r="AQ429" s="97"/>
      <c r="AR429" s="97"/>
      <c r="AS429" s="97"/>
      <c r="AT429" s="97"/>
      <c r="AU429" s="97"/>
      <c r="AV429" s="97"/>
      <c r="AW429" s="97"/>
    </row>
    <row r="430" spans="1:50" hidden="true">
      <c r="A430" s="76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AK430" s="76"/>
      <c r="AL430" s="97"/>
      <c r="AM430" s="97"/>
      <c r="AN430" s="97"/>
      <c r="AO430" s="97"/>
      <c r="AP430" s="97"/>
      <c r="AQ430" s="97"/>
      <c r="AR430" s="97"/>
      <c r="AS430" s="97"/>
      <c r="AT430" s="97"/>
      <c r="AU430" s="97"/>
      <c r="AV430" s="97"/>
      <c r="AW430" s="97"/>
    </row>
    <row r="431" spans="1:50" hidden="true">
      <c r="A431" s="76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AK431" s="76"/>
      <c r="AL431" s="97"/>
      <c r="AM431" s="97"/>
      <c r="AN431" s="97"/>
      <c r="AO431" s="97"/>
      <c r="AP431" s="97"/>
      <c r="AQ431" s="97"/>
      <c r="AR431" s="97"/>
      <c r="AS431" s="97"/>
      <c r="AT431" s="97"/>
      <c r="AU431" s="97"/>
      <c r="AV431" s="97"/>
      <c r="AW431" s="97"/>
    </row>
    <row r="432" spans="1:50" hidden="true">
      <c r="A432" s="76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AK432" s="76"/>
      <c r="AL432" s="97"/>
      <c r="AM432" s="97"/>
      <c r="AN432" s="97"/>
      <c r="AO432" s="97"/>
      <c r="AP432" s="97"/>
      <c r="AQ432" s="97"/>
      <c r="AR432" s="97"/>
      <c r="AS432" s="97"/>
      <c r="AT432" s="97"/>
      <c r="AU432" s="97"/>
      <c r="AV432" s="97"/>
      <c r="AW432" s="97"/>
    </row>
    <row r="433" spans="1:50" hidden="true">
      <c r="A433" s="76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AK433" s="76"/>
      <c r="AL433" s="97"/>
      <c r="AM433" s="97"/>
      <c r="AN433" s="97"/>
      <c r="AO433" s="97"/>
      <c r="AP433" s="97"/>
      <c r="AQ433" s="97"/>
      <c r="AR433" s="97"/>
      <c r="AS433" s="97"/>
      <c r="AT433" s="97"/>
      <c r="AU433" s="97"/>
      <c r="AV433" s="97"/>
      <c r="AW433" s="97"/>
    </row>
    <row r="434" spans="1:50" hidden="true">
      <c r="A434" s="76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AK434" s="76"/>
      <c r="AL434" s="97"/>
      <c r="AM434" s="97"/>
      <c r="AN434" s="97"/>
      <c r="AO434" s="97"/>
      <c r="AP434" s="97"/>
      <c r="AQ434" s="97"/>
      <c r="AR434" s="97"/>
      <c r="AS434" s="97"/>
      <c r="AT434" s="97"/>
      <c r="AU434" s="97"/>
      <c r="AV434" s="97"/>
      <c r="AW434" s="97"/>
    </row>
    <row r="435" spans="1:50" hidden="true">
      <c r="A435" s="76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AK435" s="76"/>
      <c r="AL435" s="124"/>
      <c r="AM435" s="124"/>
      <c r="AN435" s="124"/>
      <c r="AO435" s="124"/>
      <c r="AP435" s="124"/>
      <c r="AQ435" s="124"/>
      <c r="AR435" s="124"/>
      <c r="AS435" s="124"/>
      <c r="AT435" s="124"/>
      <c r="AU435" s="124"/>
      <c r="AV435" s="124"/>
      <c r="AW435" s="124"/>
    </row>
    <row r="436" spans="1:50" customHeight="1" ht="18" hidden="true">
      <c r="A436" s="72"/>
      <c r="B436" s="122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AK436" s="76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</row>
    <row r="437" spans="1:50" customHeight="1" ht="18" hidden="true">
      <c r="A437" s="76"/>
      <c r="B437" s="52"/>
      <c r="C437" s="51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AK437" s="76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</row>
    <row r="438" spans="1:50" customHeight="1" ht="18" hidden="true">
      <c r="A438" s="57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AK438" s="76"/>
      <c r="AL438" s="97"/>
      <c r="AM438" s="97"/>
      <c r="AN438" s="97"/>
      <c r="AO438" s="97"/>
      <c r="AP438" s="97"/>
      <c r="AQ438" s="97"/>
      <c r="AR438" s="97"/>
      <c r="AS438" s="97"/>
      <c r="AT438" s="97"/>
      <c r="AU438" s="97"/>
      <c r="AV438" s="97"/>
      <c r="AW438" s="97"/>
    </row>
    <row r="439" spans="1:50" hidden="true">
      <c r="A439" s="76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AK439" s="76"/>
      <c r="AL439" s="97"/>
      <c r="AM439" s="97"/>
      <c r="AN439" s="97"/>
      <c r="AO439" s="97"/>
      <c r="AP439" s="97"/>
      <c r="AQ439" s="97"/>
      <c r="AR439" s="97"/>
      <c r="AS439" s="97"/>
      <c r="AT439" s="97"/>
      <c r="AU439" s="97"/>
      <c r="AV439" s="97"/>
      <c r="AW439" s="97"/>
    </row>
    <row r="440" spans="1:50" hidden="true">
      <c r="A440" s="76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AK440" s="76"/>
      <c r="AL440" s="97"/>
      <c r="AM440" s="97"/>
      <c r="AN440" s="97"/>
      <c r="AO440" s="97"/>
      <c r="AP440" s="97"/>
      <c r="AQ440" s="97"/>
      <c r="AR440" s="97"/>
      <c r="AS440" s="97"/>
      <c r="AT440" s="97"/>
      <c r="AU440" s="97"/>
      <c r="AV440" s="97"/>
      <c r="AW440" s="97"/>
    </row>
    <row r="441" spans="1:50" customHeight="1" ht="18" hidden="true">
      <c r="A441" s="76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AK441" s="72"/>
      <c r="AL441" s="122"/>
      <c r="AM441" s="97"/>
      <c r="AN441" s="97"/>
      <c r="AO441" s="97"/>
      <c r="AP441" s="97"/>
      <c r="AQ441" s="97"/>
      <c r="AR441" s="97"/>
      <c r="AS441" s="97"/>
      <c r="AT441" s="97"/>
      <c r="AU441" s="97"/>
      <c r="AV441" s="97"/>
      <c r="AW441" s="97"/>
    </row>
    <row r="442" spans="1:50" customHeight="1" ht="18" hidden="true">
      <c r="A442" s="76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AK442" s="76"/>
      <c r="AL442" s="52"/>
      <c r="AM442" s="51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</row>
    <row r="443" spans="1:50" customHeight="1" ht="18" hidden="true">
      <c r="A443" s="76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AK443" s="57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</row>
    <row r="444" spans="1:50" hidden="true">
      <c r="A444" s="76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AK444" s="76"/>
      <c r="AL444" s="97"/>
      <c r="AM444" s="97"/>
      <c r="AN444" s="97"/>
      <c r="AO444" s="97"/>
      <c r="AP444" s="97"/>
      <c r="AQ444" s="97"/>
      <c r="AR444" s="97"/>
      <c r="AS444" s="97"/>
      <c r="AT444" s="97"/>
      <c r="AU444" s="97"/>
      <c r="AV444" s="97"/>
      <c r="AW444" s="97"/>
    </row>
    <row r="445" spans="1:50" hidden="true">
      <c r="A445" s="76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AK445" s="76"/>
      <c r="AL445" s="97"/>
      <c r="AM445" s="97"/>
      <c r="AN445" s="97"/>
      <c r="AO445" s="97"/>
      <c r="AP445" s="97"/>
      <c r="AQ445" s="97"/>
      <c r="AR445" s="97"/>
      <c r="AS445" s="97"/>
      <c r="AT445" s="97"/>
      <c r="AU445" s="97"/>
      <c r="AV445" s="97"/>
      <c r="AW445" s="97"/>
    </row>
    <row r="446" spans="1:50" hidden="true">
      <c r="A446" s="76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AK446" s="76"/>
      <c r="AL446" s="97"/>
      <c r="AM446" s="97"/>
      <c r="AN446" s="97"/>
      <c r="AO446" s="97"/>
      <c r="AP446" s="97"/>
      <c r="AQ446" s="97"/>
      <c r="AR446" s="97"/>
      <c r="AS446" s="97"/>
      <c r="AT446" s="97"/>
      <c r="AU446" s="97"/>
      <c r="AV446" s="97"/>
      <c r="AW446" s="97"/>
    </row>
    <row r="447" spans="1:50" hidden="true">
      <c r="A447" s="76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AK447" s="76"/>
      <c r="AL447" s="97"/>
      <c r="AM447" s="97"/>
      <c r="AN447" s="97"/>
      <c r="AO447" s="97"/>
      <c r="AP447" s="97"/>
      <c r="AQ447" s="97"/>
      <c r="AR447" s="97"/>
      <c r="AS447" s="97"/>
      <c r="AT447" s="97"/>
      <c r="AU447" s="97"/>
      <c r="AV447" s="97"/>
      <c r="AW447" s="97"/>
    </row>
    <row r="448" spans="1:50" hidden="true">
      <c r="A448" s="76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AK448" s="76"/>
      <c r="AL448" s="97"/>
      <c r="AM448" s="97"/>
      <c r="AN448" s="97"/>
      <c r="AO448" s="97"/>
      <c r="AP448" s="97"/>
      <c r="AQ448" s="97"/>
      <c r="AR448" s="97"/>
      <c r="AS448" s="97"/>
      <c r="AT448" s="97"/>
      <c r="AU448" s="97"/>
      <c r="AV448" s="97"/>
      <c r="AW448" s="97"/>
    </row>
    <row r="449" spans="1:50" hidden="true">
      <c r="A449" s="76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AK449" s="76"/>
      <c r="AL449" s="97"/>
      <c r="AM449" s="97"/>
      <c r="AN449" s="97"/>
      <c r="AO449" s="97"/>
      <c r="AP449" s="97"/>
      <c r="AQ449" s="97"/>
      <c r="AR449" s="97"/>
      <c r="AS449" s="97"/>
      <c r="AT449" s="97"/>
      <c r="AU449" s="97"/>
      <c r="AV449" s="97"/>
      <c r="AW449" s="97"/>
    </row>
    <row r="450" spans="1:50" hidden="true">
      <c r="A450" s="76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AK450" s="76"/>
      <c r="AL450" s="124"/>
      <c r="AM450" s="124"/>
      <c r="AN450" s="124"/>
      <c r="AO450" s="124"/>
      <c r="AP450" s="124"/>
      <c r="AQ450" s="124"/>
      <c r="AR450" s="124"/>
      <c r="AS450" s="124"/>
      <c r="AT450" s="124"/>
      <c r="AU450" s="124"/>
      <c r="AV450" s="124"/>
      <c r="AW450" s="124"/>
    </row>
    <row r="451" spans="1:50" hidden="true">
      <c r="A451" s="76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AK451" s="76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</row>
    <row r="452" spans="1:50" customHeight="1" ht="18" hidden="true">
      <c r="A452" s="72"/>
      <c r="B452" s="127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AK452" s="76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</row>
    <row r="453" spans="1:50" hidden="true">
      <c r="A453" s="76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AK453" s="76"/>
      <c r="AL453" s="97"/>
      <c r="AM453" s="97"/>
      <c r="AN453" s="97"/>
      <c r="AO453" s="97"/>
      <c r="AP453" s="97"/>
      <c r="AQ453" s="97"/>
      <c r="AR453" s="97"/>
      <c r="AS453" s="97"/>
      <c r="AT453" s="97"/>
      <c r="AU453" s="97"/>
      <c r="AV453" s="97"/>
      <c r="AW453" s="97"/>
    </row>
    <row r="454" spans="1:50" customHeight="1" ht="18" hidden="true">
      <c r="A454" s="76"/>
      <c r="B454" s="52"/>
      <c r="C454" s="52"/>
      <c r="D454" s="51"/>
      <c r="E454" s="52"/>
      <c r="F454" s="52"/>
      <c r="G454" s="52"/>
      <c r="H454" s="52"/>
      <c r="I454" s="52"/>
      <c r="J454" s="52"/>
      <c r="K454" s="52"/>
      <c r="L454" s="52"/>
      <c r="M454" s="52"/>
      <c r="AK454" s="76"/>
      <c r="AL454" s="97"/>
      <c r="AM454" s="97"/>
      <c r="AN454" s="97"/>
      <c r="AO454" s="97"/>
      <c r="AP454" s="97"/>
      <c r="AQ454" s="97"/>
      <c r="AR454" s="97"/>
      <c r="AS454" s="97"/>
      <c r="AT454" s="97"/>
      <c r="AU454" s="97"/>
      <c r="AV454" s="97"/>
      <c r="AW454" s="97"/>
    </row>
    <row r="455" spans="1:50" customHeight="1" ht="18">
      <c r="A455" s="57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AK455" s="76"/>
      <c r="AL455" s="97"/>
      <c r="AM455" s="97"/>
      <c r="AN455" s="97"/>
      <c r="AO455" s="97"/>
      <c r="AP455" s="97"/>
      <c r="AQ455" s="97"/>
      <c r="AR455" s="97"/>
      <c r="AS455" s="97"/>
      <c r="AT455" s="97"/>
      <c r="AU455" s="97"/>
      <c r="AV455" s="97"/>
      <c r="AW455" s="97"/>
    </row>
    <row r="456" spans="1:50" customHeight="1" ht="18">
      <c r="A456" s="7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AK456" s="76"/>
      <c r="AL456" s="97"/>
      <c r="AM456" s="97"/>
      <c r="AN456" s="97"/>
      <c r="AO456" s="97"/>
      <c r="AP456" s="97"/>
      <c r="AQ456" s="97"/>
      <c r="AR456" s="97"/>
      <c r="AS456" s="97"/>
      <c r="AT456" s="97"/>
      <c r="AU456" s="97"/>
      <c r="AV456" s="97"/>
      <c r="AW456" s="97"/>
    </row>
    <row r="457" spans="1:50" customHeight="1" ht="18">
      <c r="A457" s="7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AK457" s="72"/>
      <c r="AL457" s="127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</row>
    <row r="458" spans="1:50" customHeight="1" ht="18">
      <c r="A458" s="7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AK458" s="76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</row>
    <row r="459" spans="1:50" customHeight="1" ht="18">
      <c r="A459" s="7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AK459" s="76"/>
      <c r="AL459" s="52"/>
      <c r="AM459" s="52"/>
      <c r="AN459" s="51"/>
      <c r="AO459" s="52"/>
      <c r="AP459" s="52"/>
      <c r="AQ459" s="52"/>
      <c r="AR459" s="52"/>
      <c r="AS459" s="52"/>
      <c r="AT459" s="52"/>
      <c r="AU459" s="52"/>
      <c r="AV459" s="52"/>
      <c r="AW459" s="52"/>
    </row>
    <row r="460" spans="1:50" customHeight="1" ht="18">
      <c r="A460" s="7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AK460" s="57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</row>
    <row r="461" spans="1:50" customHeight="1" ht="18">
      <c r="A461" s="7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AK461" s="72"/>
      <c r="AL461" s="122"/>
      <c r="AM461" s="122"/>
      <c r="AN461" s="122"/>
      <c r="AO461" s="122"/>
      <c r="AP461" s="122"/>
      <c r="AQ461" s="122"/>
      <c r="AR461" s="122"/>
      <c r="AS461" s="122"/>
      <c r="AT461" s="122"/>
      <c r="AU461" s="122"/>
      <c r="AV461" s="122"/>
      <c r="AW461" s="122"/>
    </row>
    <row r="462" spans="1:50" customHeight="1" ht="18">
      <c r="A462" s="7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AK462" s="72"/>
      <c r="AL462" s="122"/>
      <c r="AM462" s="122"/>
      <c r="AN462" s="122"/>
      <c r="AO462" s="122"/>
      <c r="AP462" s="122"/>
      <c r="AQ462" s="122"/>
      <c r="AR462" s="122"/>
      <c r="AS462" s="122"/>
      <c r="AT462" s="122"/>
      <c r="AU462" s="122"/>
      <c r="AV462" s="122"/>
      <c r="AW462" s="122"/>
    </row>
    <row r="463" spans="1:50" customHeight="1" ht="18">
      <c r="A463" s="76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AK463" s="72"/>
      <c r="AL463" s="122"/>
      <c r="AM463" s="122"/>
      <c r="AN463" s="122"/>
      <c r="AO463" s="122"/>
      <c r="AP463" s="122"/>
      <c r="AQ463" s="122"/>
      <c r="AR463" s="122"/>
      <c r="AS463" s="122"/>
      <c r="AT463" s="122"/>
      <c r="AU463" s="122"/>
      <c r="AV463" s="122"/>
      <c r="AW463" s="122"/>
    </row>
    <row r="464" spans="1:50" customHeight="1" ht="18">
      <c r="A464" s="76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AK464" s="72"/>
      <c r="AL464" s="122"/>
      <c r="AM464" s="122"/>
      <c r="AN464" s="122"/>
      <c r="AO464" s="122"/>
      <c r="AP464" s="122"/>
      <c r="AQ464" s="122"/>
      <c r="AR464" s="122"/>
      <c r="AS464" s="122"/>
      <c r="AT464" s="122"/>
      <c r="AU464" s="122"/>
      <c r="AV464" s="122"/>
      <c r="AW464" s="122"/>
    </row>
    <row r="465" spans="1:50" customHeight="1" ht="18">
      <c r="A465" s="76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AK465" s="72"/>
      <c r="AL465" s="122"/>
      <c r="AM465" s="122"/>
      <c r="AN465" s="122"/>
      <c r="AO465" s="122"/>
      <c r="AP465" s="122"/>
      <c r="AQ465" s="122"/>
      <c r="AR465" s="122"/>
      <c r="AS465" s="122"/>
      <c r="AT465" s="122"/>
      <c r="AU465" s="122"/>
      <c r="AV465" s="122"/>
      <c r="AW465" s="122"/>
    </row>
    <row r="466" spans="1:50" customHeight="1" ht="18">
      <c r="A466" s="76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AK466" s="72"/>
      <c r="AL466" s="122"/>
      <c r="AM466" s="122"/>
      <c r="AN466" s="122"/>
      <c r="AO466" s="122"/>
      <c r="AP466" s="122"/>
      <c r="AQ466" s="122"/>
      <c r="AR466" s="122"/>
      <c r="AS466" s="122"/>
      <c r="AT466" s="122"/>
      <c r="AU466" s="122"/>
      <c r="AV466" s="122"/>
      <c r="AW466" s="122"/>
    </row>
    <row r="467" spans="1:50" customHeight="1" ht="18">
      <c r="A467" s="76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AK467" s="72"/>
      <c r="AL467" s="122"/>
      <c r="AM467" s="122"/>
      <c r="AN467" s="122"/>
      <c r="AO467" s="122"/>
      <c r="AP467" s="122"/>
      <c r="AQ467" s="122"/>
      <c r="AR467" s="122"/>
      <c r="AS467" s="122"/>
      <c r="AT467" s="122"/>
      <c r="AU467" s="122"/>
      <c r="AV467" s="122"/>
      <c r="AW467" s="122"/>
    </row>
    <row r="468" spans="1:50">
      <c r="A468" s="76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AK468" s="76"/>
      <c r="AL468" s="124"/>
      <c r="AM468" s="124"/>
      <c r="AN468" s="124"/>
      <c r="AO468" s="124"/>
      <c r="AP468" s="124"/>
      <c r="AQ468" s="124"/>
      <c r="AR468" s="124"/>
      <c r="AS468" s="124"/>
      <c r="AT468" s="124"/>
      <c r="AU468" s="124"/>
      <c r="AV468" s="124"/>
      <c r="AW468" s="124"/>
    </row>
    <row r="469" spans="1:50" customHeight="1" ht="18">
      <c r="A469" s="72"/>
      <c r="B469" s="127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AK469" s="76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</row>
    <row r="470" spans="1:50">
      <c r="A470" s="76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AK470" s="76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</row>
    <row r="471" spans="1:50" customHeight="1" ht="18">
      <c r="A471" s="76"/>
      <c r="B471" s="52"/>
      <c r="C471" s="51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AK471" s="76"/>
      <c r="AL471" s="97"/>
      <c r="AM471" s="97"/>
      <c r="AN471" s="97"/>
      <c r="AO471" s="97"/>
      <c r="AP471" s="97"/>
      <c r="AQ471" s="97"/>
      <c r="AR471" s="97"/>
      <c r="AS471" s="97"/>
      <c r="AT471" s="97"/>
      <c r="AU471" s="97"/>
      <c r="AV471" s="97"/>
      <c r="AW471" s="97"/>
    </row>
    <row r="472" spans="1:50" customHeight="1" ht="18">
      <c r="A472" s="57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AK472" s="76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</row>
    <row r="473" spans="1:50" hidden="true">
      <c r="A473" s="76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AK473" s="76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</row>
    <row r="474" spans="1:50" customHeight="1" ht="18" hidden="true">
      <c r="A474" s="76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AK474" s="72"/>
      <c r="AL474" s="127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</row>
    <row r="475" spans="1:50" hidden="true">
      <c r="A475" s="76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AK475" s="76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</row>
    <row r="476" spans="1:50" customHeight="1" ht="18" hidden="true">
      <c r="A476" s="76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AK476" s="76"/>
      <c r="AL476" s="52"/>
      <c r="AM476" s="51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</row>
    <row r="477" spans="1:50" customHeight="1" ht="18" hidden="true">
      <c r="A477" s="76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AK477" s="57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</row>
    <row r="478" spans="1:50" hidden="true">
      <c r="A478" s="76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AK478" s="76"/>
      <c r="AL478" s="97"/>
      <c r="AM478" s="97"/>
      <c r="AN478" s="97"/>
      <c r="AO478" s="97"/>
      <c r="AP478" s="97"/>
      <c r="AQ478" s="97"/>
      <c r="AR478" s="97"/>
      <c r="AS478" s="97"/>
      <c r="AT478" s="97"/>
      <c r="AU478" s="97"/>
      <c r="AV478" s="97"/>
      <c r="AW478" s="97"/>
    </row>
    <row r="479" spans="1:50" hidden="true">
      <c r="A479" s="76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AK479" s="76"/>
      <c r="AL479" s="97"/>
      <c r="AM479" s="97"/>
      <c r="AN479" s="97"/>
      <c r="AO479" s="97"/>
      <c r="AP479" s="97"/>
      <c r="AQ479" s="97"/>
      <c r="AR479" s="97"/>
      <c r="AS479" s="97"/>
      <c r="AT479" s="97"/>
      <c r="AU479" s="97"/>
      <c r="AV479" s="97"/>
      <c r="AW479" s="97"/>
    </row>
    <row r="480" spans="1:50" hidden="true">
      <c r="A480" s="76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AK480" s="76"/>
      <c r="AL480" s="97"/>
      <c r="AM480" s="97"/>
      <c r="AN480" s="97"/>
      <c r="AO480" s="97"/>
      <c r="AP480" s="97"/>
      <c r="AQ480" s="97"/>
      <c r="AR480" s="97"/>
      <c r="AS480" s="97"/>
      <c r="AT480" s="97"/>
      <c r="AU480" s="97"/>
      <c r="AV480" s="97"/>
      <c r="AW480" s="97"/>
    </row>
    <row r="481" spans="1:50" hidden="true">
      <c r="A481" s="76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AK481" s="76"/>
      <c r="AL481" s="97"/>
      <c r="AM481" s="97"/>
      <c r="AN481" s="97"/>
      <c r="AO481" s="97"/>
      <c r="AP481" s="97"/>
      <c r="AQ481" s="97"/>
      <c r="AR481" s="97"/>
      <c r="AS481" s="97"/>
      <c r="AT481" s="97"/>
      <c r="AU481" s="97"/>
      <c r="AV481" s="97"/>
      <c r="AW481" s="97"/>
    </row>
    <row r="482" spans="1:50" hidden="true">
      <c r="A482" s="76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AK482" s="76"/>
      <c r="AL482" s="97"/>
      <c r="AM482" s="97"/>
      <c r="AN482" s="97"/>
      <c r="AO482" s="97"/>
      <c r="AP482" s="97"/>
      <c r="AQ482" s="97"/>
      <c r="AR482" s="97"/>
      <c r="AS482" s="97"/>
      <c r="AT482" s="97"/>
      <c r="AU482" s="97"/>
      <c r="AV482" s="97"/>
      <c r="AW482" s="97"/>
    </row>
    <row r="483" spans="1:50" customHeight="1" ht="18" hidden="true">
      <c r="A483" s="72"/>
      <c r="B483" s="127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AK483" s="76"/>
      <c r="AL483" s="97"/>
      <c r="AM483" s="97"/>
      <c r="AN483" s="97"/>
      <c r="AO483" s="97"/>
      <c r="AP483" s="97"/>
      <c r="AQ483" s="97"/>
      <c r="AR483" s="97"/>
      <c r="AS483" s="97"/>
      <c r="AT483" s="97"/>
      <c r="AU483" s="97"/>
      <c r="AV483" s="97"/>
      <c r="AW483" s="97"/>
    </row>
    <row r="484" spans="1:50" hidden="true">
      <c r="A484" s="76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AK484" s="76"/>
      <c r="AL484" s="124"/>
      <c r="AM484" s="124"/>
      <c r="AN484" s="124"/>
      <c r="AO484" s="124"/>
      <c r="AP484" s="124"/>
      <c r="AQ484" s="124"/>
      <c r="AR484" s="124"/>
      <c r="AS484" s="124"/>
      <c r="AT484" s="124"/>
      <c r="AU484" s="124"/>
      <c r="AV484" s="124"/>
      <c r="AW484" s="124"/>
    </row>
    <row r="485" spans="1:50" customHeight="1" ht="18" hidden="true">
      <c r="A485" s="76"/>
      <c r="B485" s="52"/>
      <c r="C485" s="51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AK485" s="76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</row>
    <row r="486" spans="1:50" customHeight="1" ht="18" hidden="true">
      <c r="A486" s="115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AK486" s="76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</row>
    <row r="487" spans="1:50" customHeight="1" ht="18" hidden="true">
      <c r="A487" s="7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AK487" s="76"/>
      <c r="AL487" s="97"/>
      <c r="AM487" s="97"/>
      <c r="AN487" s="97"/>
      <c r="AO487" s="97"/>
      <c r="AP487" s="97"/>
      <c r="AQ487" s="97"/>
      <c r="AR487" s="97"/>
      <c r="AS487" s="97"/>
      <c r="AT487" s="97"/>
      <c r="AU487" s="97"/>
      <c r="AV487" s="97"/>
      <c r="AW487" s="97"/>
    </row>
    <row r="488" spans="1:50" customHeight="1" ht="18">
      <c r="A488" s="7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AK488" s="72"/>
      <c r="AL488" s="127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</row>
    <row r="489" spans="1:50" customHeight="1" ht="18">
      <c r="A489" s="7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AK489" s="76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  <c r="AW489" s="121"/>
    </row>
    <row r="490" spans="1:50" customHeight="1" ht="18">
      <c r="A490" s="7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AK490" s="76"/>
      <c r="AL490" s="52"/>
      <c r="AM490" s="51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</row>
    <row r="491" spans="1:50" customHeight="1" ht="18">
      <c r="A491" s="7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AK491" s="115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</row>
    <row r="492" spans="1:50" customHeight="1" ht="18">
      <c r="A492" s="7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AK492" s="72"/>
      <c r="AL492" s="122"/>
      <c r="AM492" s="122"/>
      <c r="AN492" s="122"/>
      <c r="AO492" s="122"/>
      <c r="AP492" s="122"/>
      <c r="AQ492" s="122"/>
      <c r="AR492" s="122"/>
      <c r="AS492" s="122"/>
      <c r="AT492" s="122"/>
      <c r="AU492" s="122"/>
      <c r="AV492" s="122"/>
      <c r="AW492" s="122"/>
    </row>
    <row r="493" spans="1:50" customHeight="1" ht="18">
      <c r="A493" s="7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AK493" s="72"/>
      <c r="AL493" s="122"/>
      <c r="AM493" s="122"/>
      <c r="AN493" s="122"/>
      <c r="AO493" s="122"/>
      <c r="AP493" s="122"/>
      <c r="AQ493" s="122"/>
      <c r="AR493" s="122"/>
      <c r="AS493" s="122"/>
      <c r="AT493" s="122"/>
      <c r="AU493" s="122"/>
      <c r="AV493" s="122"/>
      <c r="AW493" s="122"/>
    </row>
    <row r="494" spans="1:50" customHeight="1" ht="18">
      <c r="A494" s="76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AK494" s="72"/>
      <c r="AL494" s="122"/>
      <c r="AM494" s="122"/>
      <c r="AN494" s="122"/>
      <c r="AO494" s="122"/>
      <c r="AP494" s="122"/>
      <c r="AQ494" s="122"/>
      <c r="AR494" s="122"/>
      <c r="AS494" s="122"/>
      <c r="AT494" s="122"/>
      <c r="AU494" s="122"/>
      <c r="AV494" s="122"/>
      <c r="AW494" s="122"/>
    </row>
    <row r="495" spans="1:50" customHeight="1" ht="18">
      <c r="A495" s="76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AK495" s="72"/>
      <c r="AL495" s="122"/>
      <c r="AM495" s="122"/>
      <c r="AN495" s="122"/>
      <c r="AO495" s="122"/>
      <c r="AP495" s="122"/>
      <c r="AQ495" s="122"/>
      <c r="AR495" s="122"/>
      <c r="AS495" s="122"/>
      <c r="AT495" s="122"/>
      <c r="AU495" s="122"/>
      <c r="AV495" s="122"/>
      <c r="AW495" s="122"/>
    </row>
    <row r="496" spans="1:50" customHeight="1" ht="18">
      <c r="A496" s="76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AK496" s="72"/>
      <c r="AL496" s="122"/>
      <c r="AM496" s="122"/>
      <c r="AN496" s="122"/>
      <c r="AO496" s="122"/>
      <c r="AP496" s="122"/>
      <c r="AQ496" s="122"/>
      <c r="AR496" s="122"/>
      <c r="AS496" s="122"/>
      <c r="AT496" s="122"/>
      <c r="AU496" s="122"/>
      <c r="AV496" s="122"/>
      <c r="AW496" s="122"/>
    </row>
    <row r="497" spans="1:50" customHeight="1" ht="18">
      <c r="A497" s="76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AK497" s="72"/>
      <c r="AL497" s="122"/>
      <c r="AM497" s="122"/>
      <c r="AN497" s="122"/>
      <c r="AO497" s="122"/>
      <c r="AP497" s="122"/>
      <c r="AQ497" s="122"/>
      <c r="AR497" s="122"/>
      <c r="AS497" s="122"/>
      <c r="AT497" s="122"/>
      <c r="AU497" s="122"/>
      <c r="AV497" s="122"/>
      <c r="AW497" s="122"/>
    </row>
    <row r="498" spans="1:50" customHeight="1" ht="18">
      <c r="A498" s="76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AK498" s="72"/>
      <c r="AL498" s="122"/>
      <c r="AM498" s="122"/>
      <c r="AN498" s="122"/>
      <c r="AO498" s="122"/>
      <c r="AP498" s="122"/>
      <c r="AQ498" s="122"/>
      <c r="AR498" s="122"/>
      <c r="AS498" s="122"/>
      <c r="AT498" s="122"/>
      <c r="AU498" s="122"/>
      <c r="AV498" s="122"/>
      <c r="AW498" s="122"/>
    </row>
    <row r="499" spans="1:50">
      <c r="A499" s="76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AK499" s="76"/>
      <c r="AL499" s="124"/>
      <c r="AM499" s="124"/>
      <c r="AN499" s="124"/>
      <c r="AO499" s="124"/>
      <c r="AP499" s="124"/>
      <c r="AQ499" s="124"/>
      <c r="AR499" s="124"/>
      <c r="AS499" s="124"/>
      <c r="AT499" s="124"/>
      <c r="AU499" s="124"/>
      <c r="AV499" s="124"/>
      <c r="AW499" s="124"/>
    </row>
    <row r="500" spans="1:50">
      <c r="A500" s="72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AK500" s="76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</row>
    <row r="501" spans="1:50" customHeight="1" ht="18">
      <c r="A501" s="76"/>
      <c r="B501" s="52"/>
      <c r="C501" s="51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AK501" s="76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</row>
    <row r="502" spans="1:50" customHeight="1" ht="18">
      <c r="A502" s="57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AK502" s="76"/>
      <c r="AL502" s="97"/>
      <c r="AM502" s="97"/>
      <c r="AN502" s="97"/>
      <c r="AO502" s="97"/>
      <c r="AP502" s="97"/>
      <c r="AQ502" s="97"/>
      <c r="AR502" s="97"/>
      <c r="AS502" s="97"/>
      <c r="AT502" s="97"/>
      <c r="AU502" s="97"/>
      <c r="AV502" s="97"/>
      <c r="AW502" s="97"/>
    </row>
    <row r="503" spans="1:50" hidden="true">
      <c r="A503" s="76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AK503" s="76"/>
      <c r="AL503" s="97"/>
      <c r="AM503" s="97"/>
      <c r="AN503" s="97"/>
      <c r="AO503" s="97"/>
      <c r="AP503" s="97"/>
      <c r="AQ503" s="97"/>
      <c r="AR503" s="97"/>
      <c r="AS503" s="97"/>
      <c r="AT503" s="97"/>
      <c r="AU503" s="97"/>
      <c r="AV503" s="97"/>
      <c r="AW503" s="97"/>
    </row>
    <row r="504" spans="1:50" hidden="true">
      <c r="A504" s="76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AK504" s="76"/>
      <c r="AL504" s="105"/>
      <c r="AM504" s="105"/>
      <c r="AN504" s="105"/>
      <c r="AO504" s="105"/>
      <c r="AP504" s="105"/>
      <c r="AQ504" s="105"/>
      <c r="AR504" s="105"/>
      <c r="AS504" s="105"/>
      <c r="AT504" s="105"/>
      <c r="AU504" s="105"/>
      <c r="AV504" s="105"/>
      <c r="AW504" s="105"/>
    </row>
    <row r="505" spans="1:50" hidden="true">
      <c r="A505" s="76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AK505" s="72"/>
      <c r="AL505" s="97"/>
      <c r="AM505" s="97"/>
      <c r="AN505" s="97"/>
      <c r="AO505" s="97"/>
      <c r="AP505" s="97"/>
      <c r="AQ505" s="97"/>
      <c r="AR505" s="97"/>
      <c r="AS505" s="97"/>
      <c r="AT505" s="97"/>
      <c r="AU505" s="97"/>
      <c r="AV505" s="97"/>
      <c r="AW505" s="97"/>
    </row>
    <row r="506" spans="1:50" customHeight="1" ht="18" hidden="true">
      <c r="A506" s="76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AK506" s="76"/>
      <c r="AL506" s="52"/>
      <c r="AM506" s="51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</row>
    <row r="507" spans="1:50" customHeight="1" ht="18" hidden="true">
      <c r="A507" s="76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AK507" s="57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</row>
    <row r="508" spans="1:50" hidden="true">
      <c r="A508" s="76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AK508" s="76"/>
      <c r="AL508" s="97"/>
      <c r="AM508" s="97"/>
      <c r="AN508" s="97"/>
      <c r="AO508" s="97"/>
      <c r="AP508" s="97"/>
      <c r="AQ508" s="97"/>
      <c r="AR508" s="97"/>
      <c r="AS508" s="97"/>
      <c r="AT508" s="97"/>
      <c r="AU508" s="97"/>
      <c r="AV508" s="97"/>
      <c r="AW508" s="97"/>
    </row>
    <row r="509" spans="1:50" hidden="true">
      <c r="A509" s="76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AK509" s="76"/>
      <c r="AL509" s="97"/>
      <c r="AM509" s="97"/>
      <c r="AN509" s="97"/>
      <c r="AO509" s="97"/>
      <c r="AP509" s="97"/>
      <c r="AQ509" s="97"/>
      <c r="AR509" s="97"/>
      <c r="AS509" s="97"/>
      <c r="AT509" s="97"/>
      <c r="AU509" s="97"/>
      <c r="AV509" s="97"/>
      <c r="AW509" s="97"/>
    </row>
    <row r="510" spans="1:50" hidden="true">
      <c r="A510" s="76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AK510" s="76"/>
      <c r="AL510" s="97"/>
      <c r="AM510" s="97"/>
      <c r="AN510" s="97"/>
      <c r="AO510" s="97"/>
      <c r="AP510" s="97"/>
      <c r="AQ510" s="97"/>
      <c r="AR510" s="97"/>
      <c r="AS510" s="97"/>
      <c r="AT510" s="97"/>
      <c r="AU510" s="97"/>
      <c r="AV510" s="97"/>
      <c r="AW510" s="97"/>
    </row>
    <row r="511" spans="1:50" hidden="true">
      <c r="A511" s="76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AK511" s="76"/>
      <c r="AL511" s="97"/>
      <c r="AM511" s="97"/>
      <c r="AN511" s="97"/>
      <c r="AO511" s="97"/>
      <c r="AP511" s="97"/>
      <c r="AQ511" s="97"/>
      <c r="AR511" s="97"/>
      <c r="AS511" s="97"/>
      <c r="AT511" s="97"/>
      <c r="AU511" s="97"/>
      <c r="AV511" s="97"/>
      <c r="AW511" s="97"/>
    </row>
    <row r="512" spans="1:50" hidden="true">
      <c r="A512" s="76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AK512" s="76"/>
      <c r="AL512" s="97"/>
      <c r="AM512" s="97"/>
      <c r="AN512" s="97"/>
      <c r="AO512" s="97"/>
      <c r="AP512" s="97"/>
      <c r="AQ512" s="97"/>
      <c r="AR512" s="97"/>
      <c r="AS512" s="97"/>
      <c r="AT512" s="97"/>
      <c r="AU512" s="97"/>
      <c r="AV512" s="97"/>
      <c r="AW512" s="97"/>
    </row>
    <row r="513" spans="1:50" hidden="true">
      <c r="A513" s="76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AK513" s="76"/>
      <c r="AL513" s="97"/>
      <c r="AM513" s="97"/>
      <c r="AN513" s="97"/>
      <c r="AO513" s="97"/>
      <c r="AP513" s="97"/>
      <c r="AQ513" s="97"/>
      <c r="AR513" s="97"/>
      <c r="AS513" s="97"/>
      <c r="AT513" s="97"/>
      <c r="AU513" s="97"/>
      <c r="AV513" s="97"/>
      <c r="AW513" s="97"/>
    </row>
    <row r="514" spans="1:50" hidden="true">
      <c r="A514" s="76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AK514" s="76"/>
      <c r="AL514" s="124"/>
      <c r="AM514" s="124"/>
      <c r="AN514" s="124"/>
      <c r="AO514" s="124"/>
      <c r="AP514" s="124"/>
      <c r="AQ514" s="124"/>
      <c r="AR514" s="124"/>
      <c r="AS514" s="124"/>
      <c r="AT514" s="124"/>
      <c r="AU514" s="124"/>
      <c r="AV514" s="124"/>
      <c r="AW514" s="124"/>
    </row>
    <row r="515" spans="1:50" hidden="true">
      <c r="A515" s="72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AK515" s="76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</row>
    <row r="516" spans="1:50" customHeight="1" ht="18" hidden="true">
      <c r="A516" s="76"/>
      <c r="B516" s="52"/>
      <c r="C516" s="51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AK516" s="76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</row>
    <row r="517" spans="1:50" customHeight="1" ht="18" hidden="true">
      <c r="A517" s="57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AK517" s="76"/>
      <c r="AL517" s="97"/>
      <c r="AM517" s="97"/>
      <c r="AN517" s="97"/>
      <c r="AO517" s="97"/>
      <c r="AP517" s="97"/>
      <c r="AQ517" s="97"/>
      <c r="AR517" s="97"/>
      <c r="AS517" s="97"/>
      <c r="AT517" s="97"/>
      <c r="AU517" s="97"/>
      <c r="AV517" s="97"/>
      <c r="AW517" s="97"/>
    </row>
    <row r="518" spans="1:50" hidden="true">
      <c r="A518" s="76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AK518" s="76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</row>
    <row r="519" spans="1:50" hidden="true">
      <c r="A519" s="76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AK519" s="76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</row>
    <row r="520" spans="1:50" hidden="true">
      <c r="A520" s="76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AK520" s="72"/>
      <c r="AL520" s="97"/>
      <c r="AM520" s="97"/>
      <c r="AN520" s="97"/>
      <c r="AO520" s="97"/>
      <c r="AP520" s="97"/>
      <c r="AQ520" s="97"/>
      <c r="AR520" s="97"/>
      <c r="AS520" s="97"/>
      <c r="AT520" s="97"/>
      <c r="AU520" s="97"/>
      <c r="AV520" s="97"/>
      <c r="AW520" s="97"/>
    </row>
    <row r="521" spans="1:50" customHeight="1" ht="18" hidden="true">
      <c r="A521" s="76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AK521" s="76"/>
      <c r="AL521" s="52"/>
      <c r="AM521" s="51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</row>
    <row r="522" spans="1:50" customHeight="1" ht="18" hidden="true">
      <c r="A522" s="76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AK522" s="57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</row>
    <row r="523" spans="1:50" hidden="true">
      <c r="A523" s="76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AK523" s="76"/>
      <c r="AL523" s="97"/>
      <c r="AM523" s="97"/>
      <c r="AN523" s="97"/>
      <c r="AO523" s="97"/>
      <c r="AP523" s="97"/>
      <c r="AQ523" s="97"/>
      <c r="AR523" s="97"/>
      <c r="AS523" s="97"/>
      <c r="AT523" s="97"/>
      <c r="AU523" s="97"/>
      <c r="AV523" s="97"/>
      <c r="AW523" s="97"/>
    </row>
    <row r="524" spans="1:50" hidden="true">
      <c r="A524" s="76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AK524" s="76"/>
      <c r="AL524" s="97"/>
      <c r="AM524" s="97"/>
      <c r="AN524" s="97"/>
      <c r="AO524" s="97"/>
      <c r="AP524" s="97"/>
      <c r="AQ524" s="97"/>
      <c r="AR524" s="97"/>
      <c r="AS524" s="97"/>
      <c r="AT524" s="97"/>
      <c r="AU524" s="97"/>
      <c r="AV524" s="97"/>
      <c r="AW524" s="97"/>
    </row>
    <row r="525" spans="1:50" hidden="true">
      <c r="A525" s="76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AK525" s="76"/>
      <c r="AL525" s="97"/>
      <c r="AM525" s="97"/>
      <c r="AN525" s="97"/>
      <c r="AO525" s="97"/>
      <c r="AP525" s="97"/>
      <c r="AQ525" s="97"/>
      <c r="AR525" s="97"/>
      <c r="AS525" s="97"/>
      <c r="AT525" s="97"/>
      <c r="AU525" s="97"/>
      <c r="AV525" s="97"/>
      <c r="AW525" s="97"/>
    </row>
    <row r="526" spans="1:50" hidden="true">
      <c r="A526" s="76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AK526" s="76"/>
      <c r="AL526" s="97"/>
      <c r="AM526" s="97"/>
      <c r="AN526" s="97"/>
      <c r="AO526" s="97"/>
      <c r="AP526" s="97"/>
      <c r="AQ526" s="97"/>
      <c r="AR526" s="97"/>
      <c r="AS526" s="97"/>
      <c r="AT526" s="97"/>
      <c r="AU526" s="97"/>
      <c r="AV526" s="97"/>
      <c r="AW526" s="97"/>
    </row>
    <row r="527" spans="1:50" hidden="true">
      <c r="A527" s="76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AK527" s="76"/>
      <c r="AL527" s="97"/>
      <c r="AM527" s="97"/>
      <c r="AN527" s="97"/>
      <c r="AO527" s="97"/>
      <c r="AP527" s="97"/>
      <c r="AQ527" s="97"/>
      <c r="AR527" s="97"/>
      <c r="AS527" s="97"/>
      <c r="AT527" s="97"/>
      <c r="AU527" s="97"/>
      <c r="AV527" s="97"/>
      <c r="AW527" s="97"/>
    </row>
    <row r="528" spans="1:50" hidden="true">
      <c r="A528" s="76"/>
      <c r="B528" s="123"/>
      <c r="C528" s="123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AK528" s="76"/>
      <c r="AL528" s="97"/>
      <c r="AM528" s="97"/>
      <c r="AN528" s="97"/>
      <c r="AO528" s="97"/>
      <c r="AP528" s="97"/>
      <c r="AQ528" s="97"/>
      <c r="AR528" s="97"/>
      <c r="AS528" s="97"/>
      <c r="AT528" s="97"/>
      <c r="AU528" s="97"/>
      <c r="AV528" s="97"/>
      <c r="AW528" s="97"/>
    </row>
    <row r="529" spans="1:50" hidden="true">
      <c r="A529" s="76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AK529" s="76"/>
      <c r="AL529" s="124"/>
      <c r="AM529" s="124"/>
      <c r="AN529" s="124"/>
      <c r="AO529" s="124"/>
      <c r="AP529" s="124"/>
      <c r="AQ529" s="124"/>
      <c r="AR529" s="124"/>
      <c r="AS529" s="124"/>
      <c r="AT529" s="124"/>
      <c r="AU529" s="124"/>
      <c r="AV529" s="124"/>
      <c r="AW529" s="124"/>
    </row>
    <row r="530" spans="1:50" customHeight="1" ht="18" hidden="true">
      <c r="A530" s="72"/>
      <c r="B530" s="127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AK530" s="76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</row>
    <row r="531" spans="1:50" hidden="true">
      <c r="A531" s="76"/>
      <c r="B531" s="110"/>
      <c r="C531" s="135"/>
      <c r="D531" s="114"/>
      <c r="E531" s="114"/>
      <c r="F531" s="114"/>
      <c r="G531" s="114"/>
      <c r="H531" s="114"/>
      <c r="I531" s="114"/>
      <c r="J531" s="114"/>
      <c r="K531" s="114"/>
      <c r="L531" s="114"/>
      <c r="M531" s="136"/>
      <c r="AK531" s="76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</row>
    <row r="532" spans="1:50" hidden="true">
      <c r="A532" s="76"/>
      <c r="B532" s="110"/>
      <c r="C532" s="110"/>
      <c r="D532" s="114"/>
      <c r="E532" s="114"/>
      <c r="F532" s="114"/>
      <c r="G532" s="114"/>
      <c r="H532" s="114"/>
      <c r="I532" s="114"/>
      <c r="J532" s="114"/>
      <c r="K532" s="114"/>
      <c r="L532" s="114"/>
      <c r="M532" s="136"/>
      <c r="AK532" s="76"/>
      <c r="AL532" s="97"/>
      <c r="AM532" s="97"/>
      <c r="AN532" s="97"/>
      <c r="AO532" s="97"/>
      <c r="AP532" s="97"/>
      <c r="AQ532" s="97"/>
      <c r="AR532" s="97"/>
      <c r="AS532" s="97"/>
      <c r="AT532" s="97"/>
      <c r="AU532" s="97"/>
      <c r="AV532" s="97"/>
      <c r="AW532" s="97"/>
    </row>
    <row r="533" spans="1:50" customHeight="1" ht="18" hidden="true">
      <c r="A533" s="115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AK533" s="76"/>
      <c r="AL533" s="123"/>
      <c r="AM533" s="123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</row>
    <row r="534" spans="1:50" customHeight="1" ht="18" hidden="true">
      <c r="A534" s="7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AK534" s="76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</row>
    <row r="535" spans="1:50" customHeight="1" ht="18">
      <c r="A535" s="7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AK535" s="72"/>
      <c r="AL535" s="127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</row>
    <row r="536" spans="1:50" customHeight="1" ht="18">
      <c r="A536" s="7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AK536" s="76"/>
      <c r="AL536" s="110"/>
      <c r="AM536" s="135"/>
      <c r="AN536" s="114"/>
      <c r="AO536" s="114"/>
      <c r="AP536" s="114"/>
      <c r="AQ536" s="114"/>
      <c r="AR536" s="114"/>
      <c r="AS536" s="114"/>
      <c r="AT536" s="114"/>
      <c r="AU536" s="114"/>
      <c r="AV536" s="114"/>
      <c r="AW536" s="136"/>
    </row>
    <row r="537" spans="1:50" customHeight="1" ht="18">
      <c r="A537" s="7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AK537" s="76"/>
      <c r="AL537" s="110"/>
      <c r="AM537" s="110"/>
      <c r="AN537" s="114"/>
      <c r="AO537" s="114"/>
      <c r="AP537" s="114"/>
      <c r="AQ537" s="114"/>
      <c r="AR537" s="114"/>
      <c r="AS537" s="114"/>
      <c r="AT537" s="114"/>
      <c r="AU537" s="114"/>
      <c r="AV537" s="114"/>
      <c r="AW537" s="136"/>
    </row>
    <row r="538" spans="1:50" customHeight="1" ht="18">
      <c r="A538" s="7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AK538" s="115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</row>
    <row r="539" spans="1:50" customHeight="1" ht="18">
      <c r="A539" s="7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AK539" s="72"/>
      <c r="AL539" s="122"/>
      <c r="AM539" s="122"/>
      <c r="AN539" s="122"/>
      <c r="AO539" s="122"/>
      <c r="AP539" s="122"/>
      <c r="AQ539" s="122"/>
      <c r="AR539" s="122"/>
      <c r="AS539" s="122"/>
      <c r="AT539" s="122"/>
      <c r="AU539" s="122"/>
      <c r="AV539" s="122"/>
      <c r="AW539" s="122"/>
    </row>
    <row r="540" spans="1:50" customHeight="1" ht="18">
      <c r="A540" s="7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AK540" s="72"/>
      <c r="AL540" s="122"/>
      <c r="AM540" s="122"/>
      <c r="AN540" s="122"/>
      <c r="AO540" s="122"/>
      <c r="AP540" s="122"/>
      <c r="AQ540" s="122"/>
      <c r="AR540" s="122"/>
      <c r="AS540" s="122"/>
      <c r="AT540" s="122"/>
      <c r="AU540" s="122"/>
      <c r="AV540" s="122"/>
      <c r="AW540" s="122"/>
    </row>
    <row r="541" spans="1:50" customHeight="1" ht="18">
      <c r="A541" s="76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AK541" s="72"/>
      <c r="AL541" s="122"/>
      <c r="AM541" s="122"/>
      <c r="AN541" s="122"/>
      <c r="AO541" s="122"/>
      <c r="AP541" s="122"/>
      <c r="AQ541" s="122"/>
      <c r="AR541" s="122"/>
      <c r="AS541" s="122"/>
      <c r="AT541" s="122"/>
      <c r="AU541" s="122"/>
      <c r="AV541" s="122"/>
      <c r="AW541" s="122"/>
    </row>
    <row r="542" spans="1:50" customHeight="1" ht="18">
      <c r="A542" s="76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AK542" s="72"/>
      <c r="AL542" s="122"/>
      <c r="AM542" s="122"/>
      <c r="AN542" s="122"/>
      <c r="AO542" s="122"/>
      <c r="AP542" s="122"/>
      <c r="AQ542" s="122"/>
      <c r="AR542" s="122"/>
      <c r="AS542" s="122"/>
      <c r="AT542" s="122"/>
      <c r="AU542" s="122"/>
      <c r="AV542" s="122"/>
      <c r="AW542" s="122"/>
    </row>
    <row r="543" spans="1:50" customHeight="1" ht="18">
      <c r="A543" s="76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AK543" s="72"/>
      <c r="AL543" s="122"/>
      <c r="AM543" s="122"/>
      <c r="AN543" s="122"/>
      <c r="AO543" s="122"/>
      <c r="AP543" s="122"/>
      <c r="AQ543" s="122"/>
      <c r="AR543" s="122"/>
      <c r="AS543" s="122"/>
      <c r="AT543" s="122"/>
      <c r="AU543" s="122"/>
      <c r="AV543" s="122"/>
      <c r="AW543" s="122"/>
    </row>
    <row r="544" spans="1:50" customHeight="1" ht="18">
      <c r="A544" s="76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AK544" s="72"/>
      <c r="AL544" s="122"/>
      <c r="AM544" s="122"/>
      <c r="AN544" s="122"/>
      <c r="AO544" s="122"/>
      <c r="AP544" s="122"/>
      <c r="AQ544" s="122"/>
      <c r="AR544" s="122"/>
      <c r="AS544" s="122"/>
      <c r="AT544" s="122"/>
      <c r="AU544" s="122"/>
      <c r="AV544" s="122"/>
      <c r="AW544" s="122"/>
    </row>
    <row r="545" spans="1:50" customHeight="1" ht="18">
      <c r="A545" s="76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AK545" s="72"/>
      <c r="AL545" s="122"/>
      <c r="AM545" s="122"/>
      <c r="AN545" s="122"/>
      <c r="AO545" s="122"/>
      <c r="AP545" s="122"/>
      <c r="AQ545" s="122"/>
      <c r="AR545" s="122"/>
      <c r="AS545" s="122"/>
      <c r="AT545" s="122"/>
      <c r="AU545" s="122"/>
      <c r="AV545" s="122"/>
      <c r="AW545" s="122"/>
    </row>
    <row r="546" spans="1:50" customHeight="1" ht="18">
      <c r="A546" s="72"/>
      <c r="B546" s="121"/>
      <c r="C546" s="51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AK546" s="76"/>
      <c r="AL546" s="124"/>
      <c r="AM546" s="124"/>
      <c r="AN546" s="124"/>
      <c r="AO546" s="124"/>
      <c r="AP546" s="124"/>
      <c r="AQ546" s="124"/>
      <c r="AR546" s="124"/>
      <c r="AS546" s="124"/>
      <c r="AT546" s="124"/>
      <c r="AU546" s="124"/>
      <c r="AV546" s="124"/>
      <c r="AW546" s="124"/>
    </row>
    <row r="547" spans="1:50" customHeight="1" ht="18">
      <c r="A547" s="57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AK547" s="76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</row>
    <row r="548" spans="1:50" customHeight="1" ht="18">
      <c r="A548" s="7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AK548" s="76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</row>
    <row r="549" spans="1:50" customHeight="1" ht="18">
      <c r="A549" s="7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AK549" s="76"/>
      <c r="AL549" s="97"/>
      <c r="AM549" s="97"/>
      <c r="AN549" s="97"/>
      <c r="AO549" s="97"/>
      <c r="AP549" s="97"/>
      <c r="AQ549" s="97"/>
      <c r="AR549" s="97"/>
      <c r="AS549" s="97"/>
      <c r="AT549" s="97"/>
      <c r="AU549" s="97"/>
      <c r="AV549" s="97"/>
      <c r="AW549" s="97"/>
    </row>
    <row r="550" spans="1:50" customHeight="1" ht="18">
      <c r="A550" s="7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AK550" s="76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</row>
    <row r="551" spans="1:50" customHeight="1" ht="18">
      <c r="A551" s="7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AK551" s="72"/>
      <c r="AL551" s="121"/>
      <c r="AM551" s="51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</row>
    <row r="552" spans="1:50" customHeight="1" ht="18">
      <c r="A552" s="7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AK552" s="57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</row>
    <row r="553" spans="1:50" customHeight="1" ht="18">
      <c r="A553" s="7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AK553" s="72"/>
      <c r="AL553" s="122"/>
      <c r="AM553" s="122"/>
      <c r="AN553" s="122"/>
      <c r="AO553" s="122"/>
      <c r="AP553" s="122"/>
      <c r="AQ553" s="122"/>
      <c r="AR553" s="122"/>
      <c r="AS553" s="122"/>
      <c r="AT553" s="122"/>
      <c r="AU553" s="122"/>
      <c r="AV553" s="122"/>
      <c r="AW553" s="122"/>
    </row>
    <row r="554" spans="1:50" customHeight="1" ht="18">
      <c r="A554" s="7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AK554" s="72"/>
      <c r="AL554" s="122"/>
      <c r="AM554" s="122"/>
      <c r="AN554" s="122"/>
      <c r="AO554" s="122"/>
      <c r="AP554" s="122"/>
      <c r="AQ554" s="122"/>
      <c r="AR554" s="122"/>
      <c r="AS554" s="122"/>
      <c r="AT554" s="122"/>
      <c r="AU554" s="122"/>
      <c r="AV554" s="122"/>
      <c r="AW554" s="122"/>
    </row>
    <row r="555" spans="1:50" customHeight="1" ht="18">
      <c r="A555" s="76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AK555" s="72"/>
      <c r="AL555" s="122"/>
      <c r="AM555" s="122"/>
      <c r="AN555" s="122"/>
      <c r="AO555" s="122"/>
      <c r="AP555" s="122"/>
      <c r="AQ555" s="122"/>
      <c r="AR555" s="122"/>
      <c r="AS555" s="122"/>
      <c r="AT555" s="122"/>
      <c r="AU555" s="122"/>
      <c r="AV555" s="122"/>
      <c r="AW555" s="122"/>
    </row>
    <row r="556" spans="1:50" customHeight="1" ht="18">
      <c r="A556" s="76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AK556" s="72"/>
      <c r="AL556" s="122"/>
      <c r="AM556" s="122"/>
      <c r="AN556" s="122"/>
      <c r="AO556" s="122"/>
      <c r="AP556" s="122"/>
      <c r="AQ556" s="122"/>
      <c r="AR556" s="122"/>
      <c r="AS556" s="122"/>
      <c r="AT556" s="122"/>
      <c r="AU556" s="122"/>
      <c r="AV556" s="122"/>
      <c r="AW556" s="122"/>
    </row>
    <row r="557" spans="1:50" customHeight="1" ht="18">
      <c r="A557" s="76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AK557" s="72"/>
      <c r="AL557" s="122"/>
      <c r="AM557" s="122"/>
      <c r="AN557" s="122"/>
      <c r="AO557" s="122"/>
      <c r="AP557" s="122"/>
      <c r="AQ557" s="122"/>
      <c r="AR557" s="122"/>
      <c r="AS557" s="122"/>
      <c r="AT557" s="122"/>
      <c r="AU557" s="122"/>
      <c r="AV557" s="122"/>
      <c r="AW557" s="122"/>
    </row>
    <row r="558" spans="1:50" customHeight="1" ht="18">
      <c r="A558" s="76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AK558" s="72"/>
      <c r="AL558" s="122"/>
      <c r="AM558" s="122"/>
      <c r="AN558" s="122"/>
      <c r="AO558" s="122"/>
      <c r="AP558" s="122"/>
      <c r="AQ558" s="122"/>
      <c r="AR558" s="122"/>
      <c r="AS558" s="122"/>
      <c r="AT558" s="122"/>
      <c r="AU558" s="122"/>
      <c r="AV558" s="122"/>
      <c r="AW558" s="122"/>
    </row>
    <row r="559" spans="1:50" customHeight="1" ht="18">
      <c r="AK559" s="72"/>
      <c r="AL559" s="122"/>
      <c r="AM559" s="122"/>
      <c r="AN559" s="122"/>
      <c r="AO559" s="122"/>
      <c r="AP559" s="122"/>
      <c r="AQ559" s="122"/>
      <c r="AR559" s="122"/>
      <c r="AS559" s="122"/>
      <c r="AT559" s="122"/>
      <c r="AU559" s="122"/>
      <c r="AV559" s="122"/>
      <c r="AW559" s="122"/>
    </row>
    <row r="560" spans="1:50">
      <c r="AK560" s="76"/>
      <c r="AL560" s="124"/>
      <c r="AM560" s="124"/>
      <c r="AN560" s="124"/>
      <c r="AO560" s="124"/>
      <c r="AP560" s="124"/>
      <c r="AQ560" s="124"/>
      <c r="AR560" s="124"/>
      <c r="AS560" s="124"/>
      <c r="AT560" s="124"/>
      <c r="AU560" s="124"/>
      <c r="AV560" s="124"/>
      <c r="AW560" s="124"/>
    </row>
    <row r="561" spans="1:50">
      <c r="AK561" s="76"/>
      <c r="AL561" s="124"/>
      <c r="AM561" s="124"/>
      <c r="AN561" s="124"/>
      <c r="AO561" s="124"/>
      <c r="AP561" s="124"/>
      <c r="AQ561" s="124"/>
      <c r="AR561" s="124"/>
      <c r="AS561" s="124"/>
      <c r="AT561" s="124"/>
      <c r="AU561" s="124"/>
      <c r="AV561" s="124"/>
      <c r="AW561" s="124"/>
    </row>
    <row r="562" spans="1:50">
      <c r="AK562" s="76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</row>
    <row r="563" spans="1:50">
      <c r="AK563" s="76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  <c r="AW563" s="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54" bottom="1" header="0" footer="0"/>
  <pageSetup paperSize="9" orientation="landscape" scale="85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FE">
    <outlinePr summaryBelow="1" summaryRight="1"/>
  </sheetPr>
  <dimension ref="A1:N694"/>
  <sheetViews>
    <sheetView tabSelected="0" workbookViewId="0" zoomScale="70" zoomScaleNormal="70" showGridLines="false" showRowColHeaders="1">
      <selection activeCell="K69" sqref="K69"/>
    </sheetView>
  </sheetViews>
  <sheetFormatPr defaultRowHeight="14.4" outlineLevelRow="0" outlineLevelCol="0"/>
  <cols>
    <col min="4" max="4" width="34.1796875" customWidth="true" style="0"/>
    <col min="5" max="5" width="11.81640625" customWidth="true" style="0"/>
    <col min="6" max="6" width="11" customWidth="true" style="0"/>
    <col min="7" max="7" width="11.453125" customWidth="true" style="0"/>
    <col min="8" max="8" width="10.26953125" customWidth="true" style="0"/>
    <col min="11" max="11" width="10.81640625" customWidth="true" style="0"/>
  </cols>
  <sheetData>
    <row r="1" spans="1:14">
      <c r="C1" t="s">
        <v>261</v>
      </c>
      <c r="E1">
        <v>506</v>
      </c>
      <c r="F1">
        <v>503</v>
      </c>
      <c r="G1">
        <v>512</v>
      </c>
      <c r="H1">
        <v>508</v>
      </c>
    </row>
    <row r="2" spans="1:14">
      <c r="D2" s="235" t="s">
        <v>262</v>
      </c>
      <c r="E2" s="235" t="s">
        <v>155</v>
      </c>
      <c r="F2" s="236"/>
      <c r="G2" s="236"/>
      <c r="H2" s="236"/>
      <c r="I2" s="236"/>
    </row>
    <row r="3" spans="1:14" customHeight="1" ht="28.5">
      <c r="D3" s="236"/>
      <c r="E3" s="238" t="s">
        <v>68</v>
      </c>
      <c r="F3" s="238" t="s">
        <v>263</v>
      </c>
      <c r="G3" s="238" t="s">
        <v>70</v>
      </c>
      <c r="H3" s="248" t="s">
        <v>71</v>
      </c>
      <c r="I3" s="238" t="s">
        <v>72</v>
      </c>
    </row>
    <row r="4" spans="1:14">
      <c r="D4" s="235" t="s">
        <v>264</v>
      </c>
      <c r="E4" s="239">
        <f>(BDFE!C514+BDFE!C505)/1000</f>
        <v>-53.63116</v>
      </c>
      <c r="F4" s="239">
        <f>(BDFE!C444+BDFE!C435)/1000</f>
        <v>-20.7791</v>
      </c>
      <c r="G4" s="239">
        <f>(BDFE!C654+BDFE!C645)/1000</f>
        <v>-1.253</v>
      </c>
      <c r="H4" s="239">
        <f>(BDFE!C584+BDFE!C575)/1000</f>
        <v>-0.975</v>
      </c>
      <c r="I4" s="239">
        <f>SUM(E4,F4,G4,H4)</f>
        <v>-76.63826</v>
      </c>
    </row>
    <row r="5" spans="1:14">
      <c r="D5" s="236"/>
      <c r="E5" s="240"/>
      <c r="F5" s="240"/>
      <c r="G5" s="240"/>
      <c r="H5" s="240"/>
      <c r="I5" s="240"/>
    </row>
    <row r="6" spans="1:14">
      <c r="D6" s="235" t="s">
        <v>265</v>
      </c>
      <c r="E6" s="240"/>
      <c r="F6" s="240"/>
      <c r="G6" s="240"/>
      <c r="H6" s="240"/>
      <c r="I6" s="240"/>
    </row>
    <row r="7" spans="1:14">
      <c r="D7" s="236" t="s">
        <v>266</v>
      </c>
      <c r="E7" s="241">
        <f>BDFE!$C$516/1000</f>
        <v>-15.00001</v>
      </c>
      <c r="F7" s="241">
        <f>(BDFE!$C$446)/1000</f>
        <v>0</v>
      </c>
      <c r="G7" s="241">
        <f>BDFE!$C$656/1000</f>
        <v>0</v>
      </c>
      <c r="H7" s="241">
        <f>BDFE!$C$586/1000</f>
        <v>0</v>
      </c>
      <c r="I7" s="241">
        <f>SUM(E7,F7,G7,H7)</f>
        <v>-15.00001</v>
      </c>
    </row>
    <row r="8" spans="1:14">
      <c r="D8" s="236" t="s">
        <v>267</v>
      </c>
      <c r="E8" s="242">
        <f>(BDFE!C517+BDFE!C518+BDFE!C519)/1000</f>
        <v>0</v>
      </c>
      <c r="F8" s="242">
        <f>(BDFE!C447+BDFE!C448+BDFE!C449)/1000</f>
        <v>0</v>
      </c>
      <c r="G8" s="242">
        <f>(BDFE!C657+BDFE!C658+BDFE!C659)/1000</f>
        <v>0</v>
      </c>
      <c r="H8" s="242">
        <f>(BDFE!C587+BDFE!C588+BDFE!C589)/1000</f>
        <v>0</v>
      </c>
      <c r="I8" s="242">
        <f>SUM(E8,F8,G8,H8)</f>
        <v>0</v>
      </c>
    </row>
    <row r="9" spans="1:14">
      <c r="D9" s="236" t="s">
        <v>268</v>
      </c>
      <c r="E9" s="242">
        <f>BDFE!$C$520/1000</f>
        <v>0</v>
      </c>
      <c r="F9" s="242">
        <f>BDFE!$C$450/1000</f>
        <v>0</v>
      </c>
      <c r="G9" s="242">
        <f>BDFE!$C$660/1000</f>
        <v>0</v>
      </c>
      <c r="H9" s="242">
        <f>BDFE!$C$590/1000</f>
        <v>0</v>
      </c>
      <c r="I9" s="242">
        <f>SUM(E9,F9,G9,H9)</f>
        <v>0</v>
      </c>
    </row>
    <row r="10" spans="1:14">
      <c r="D10" s="236" t="s">
        <v>269</v>
      </c>
      <c r="E10" s="242">
        <f>(BDFE!C521+BDFE!C522)/1000</f>
        <v>25.80252</v>
      </c>
      <c r="F10" s="242">
        <f>(BDFE!C451+BDFE!C452)/1000</f>
        <v>-3.3246</v>
      </c>
      <c r="G10" s="242">
        <f>(BDFE!C661+BDFE!C662)/1000</f>
        <v>-0.20048</v>
      </c>
      <c r="H10" s="242">
        <f>(BDFE!C591+BDFE!C592)/1000</f>
        <v>0</v>
      </c>
      <c r="I10" s="242">
        <f>SUM(E10,F10,G10,H10)</f>
        <v>22.27744</v>
      </c>
    </row>
    <row r="11" spans="1:14">
      <c r="D11" s="236" t="s">
        <v>270</v>
      </c>
      <c r="E11" s="242">
        <f>BDFE!$C$523/1000</f>
        <v>36.88049</v>
      </c>
      <c r="F11" s="242">
        <f>BDFE!$C$453/1000</f>
        <v>0</v>
      </c>
      <c r="G11" s="242">
        <f>BDFE!$C$663/1000</f>
        <v>0</v>
      </c>
      <c r="H11" s="242">
        <f>BDFE!$C$593/1000</f>
        <v>0</v>
      </c>
      <c r="I11" s="242">
        <f>SUM(E11,F11,G11,H11)</f>
        <v>36.88049</v>
      </c>
    </row>
    <row r="12" spans="1:14">
      <c r="D12" s="236" t="s">
        <v>271</v>
      </c>
      <c r="E12" s="242">
        <f>(BDFE!C524+BDFE!C525)/1000</f>
        <v>0</v>
      </c>
      <c r="F12" s="242">
        <f>(BDFE!C454 +BDFE!C455)/1000</f>
        <v>0</v>
      </c>
      <c r="G12" s="242">
        <f>(BDFE!C664+BDFE!C665)/1000</f>
        <v>0</v>
      </c>
      <c r="H12" s="242">
        <f>(BDFE!C594+BDFE!C595)/1000</f>
        <v>3.7</v>
      </c>
      <c r="I12" s="242">
        <f>SUM(E12,F12,G12,H12)</f>
        <v>3.7</v>
      </c>
    </row>
    <row r="13" spans="1:14">
      <c r="D13" s="236" t="s">
        <v>272</v>
      </c>
      <c r="E13" s="242">
        <f>(BDFE!C526+BDFE!C527+BDFE!C528+BDFE!C529)/1000</f>
        <v>-18.20188</v>
      </c>
      <c r="F13" s="242">
        <f>(BDFE!$C$456+ BDFE!C457+BDFE!C458+BDFE!C459)/1000</f>
        <v>0.0357</v>
      </c>
      <c r="G13" s="242">
        <f>(BDFE!C666+BDFE!C667+BDFE!C668+BDFE!C669)/1000</f>
        <v>0</v>
      </c>
      <c r="H13" s="242">
        <f>(BDFE!C596+BDFE!C597+BDFE!C598+BDFE!C599)/1000</f>
        <v>0</v>
      </c>
      <c r="I13" s="242">
        <f>SUM(E13,F13,G13,H13)</f>
        <v>-18.16618</v>
      </c>
    </row>
    <row r="14" spans="1:14">
      <c r="D14" s="235" t="s">
        <v>265</v>
      </c>
      <c r="E14" s="239">
        <f>SUM(E7:E13)</f>
        <v>29.48112</v>
      </c>
      <c r="F14" s="239">
        <f>SUM(F7:F13)</f>
        <v>-3.2889</v>
      </c>
      <c r="G14" s="239">
        <f>SUM(G7:G13)</f>
        <v>-0.20048</v>
      </c>
      <c r="H14" s="239">
        <f>SUM(H7:H13)</f>
        <v>3.7</v>
      </c>
      <c r="I14" s="239">
        <f>SUM(I7:I13)</f>
        <v>29.69174</v>
      </c>
    </row>
    <row r="15" spans="1:14">
      <c r="D15" s="236"/>
      <c r="E15" s="243"/>
      <c r="F15" s="243"/>
      <c r="G15" s="243"/>
      <c r="H15" s="243"/>
      <c r="I15" s="243"/>
    </row>
    <row r="16" spans="1:14">
      <c r="D16" s="235" t="s">
        <v>273</v>
      </c>
      <c r="E16" s="240"/>
      <c r="F16" s="240"/>
      <c r="G16" s="240"/>
      <c r="H16" s="240"/>
      <c r="I16" s="240"/>
    </row>
    <row r="17" spans="1:14">
      <c r="D17" s="236" t="s">
        <v>274</v>
      </c>
      <c r="E17" s="241">
        <f>BDFE!$C$532/1000</f>
        <v>0</v>
      </c>
      <c r="F17" s="241">
        <f>BDFE!$C$462/1000</f>
        <v>0</v>
      </c>
      <c r="G17" s="241">
        <f>BDFE!$C$672/1000</f>
        <v>0</v>
      </c>
      <c r="H17" s="241">
        <f>BDFE!$C$602/1000</f>
        <v>0</v>
      </c>
      <c r="I17" s="241">
        <f>SUM(E17,F17,G17,H17)</f>
        <v>0</v>
      </c>
    </row>
    <row r="18" spans="1:14">
      <c r="D18" s="236" t="s">
        <v>275</v>
      </c>
      <c r="E18" s="242">
        <f>BDFE!$C$533/1000</f>
        <v>0</v>
      </c>
      <c r="F18" s="242">
        <f>BDFE!$C$463/1000</f>
        <v>33</v>
      </c>
      <c r="G18" s="242">
        <f>BDFE!$C$673/1000</f>
        <v>0</v>
      </c>
      <c r="H18" s="242">
        <f>BDFE!C603/1000</f>
        <v>0</v>
      </c>
      <c r="I18" s="242">
        <f>SUM(E18,F18,G18,H18)</f>
        <v>33</v>
      </c>
    </row>
    <row r="19" spans="1:14">
      <c r="D19" s="236" t="s">
        <v>276</v>
      </c>
      <c r="E19" s="242">
        <f>BDFE!$C$534/1000</f>
        <v>0</v>
      </c>
      <c r="F19" s="242">
        <f>BDFE!$C$464/1000</f>
        <v>0</v>
      </c>
      <c r="G19" s="242">
        <f>BDFE!$C$674/1000</f>
        <v>0</v>
      </c>
      <c r="H19" s="242">
        <f>BDFE!C604/1000</f>
        <v>0</v>
      </c>
      <c r="I19" s="242">
        <f>SUM(E19,F19,G19,H19)</f>
        <v>0</v>
      </c>
    </row>
    <row r="20" spans="1:14">
      <c r="D20" s="236" t="s">
        <v>277</v>
      </c>
      <c r="E20" s="242">
        <f>BDFE!$C$535/1000</f>
        <v>0</v>
      </c>
      <c r="F20" s="242">
        <f>BDFE!$C$465/1000</f>
        <v>0</v>
      </c>
      <c r="G20" s="242">
        <f>BDFE!$C$675/1000</f>
        <v>0</v>
      </c>
      <c r="H20" s="242">
        <f>BDFE!C605/1000</f>
        <v>0</v>
      </c>
      <c r="I20" s="242">
        <f>SUM(E20,F20,G20,H20)</f>
        <v>0</v>
      </c>
    </row>
    <row r="21" spans="1:14">
      <c r="D21" s="236" t="s">
        <v>278</v>
      </c>
      <c r="E21" s="242">
        <f>(BDFE!C536+BDFE!C537)/1000</f>
        <v>0</v>
      </c>
      <c r="F21" s="242">
        <f>(BDFE!C466+BDFE!C467)/1000</f>
        <v>0</v>
      </c>
      <c r="G21" s="242">
        <f>(BDFE!C676+BDFE!C677)/1000</f>
        <v>0</v>
      </c>
      <c r="H21" s="242">
        <f>(BDFE!C606+BDFE!C607)/1000</f>
        <v>0</v>
      </c>
      <c r="I21" s="242">
        <f>SUM(E21,F21,G21,H21)</f>
        <v>0</v>
      </c>
    </row>
    <row r="22" spans="1:14">
      <c r="D22" s="236" t="s">
        <v>279</v>
      </c>
      <c r="E22" s="242">
        <f>BDFE!$C$538/1000</f>
        <v>0</v>
      </c>
      <c r="F22" s="242">
        <f>BDFE!C468/1000</f>
        <v>0</v>
      </c>
      <c r="G22" s="242">
        <f>BDFE!$C$678/1000</f>
        <v>0</v>
      </c>
      <c r="H22" s="242">
        <f>BDFE!$C$608/1000</f>
        <v>0</v>
      </c>
      <c r="I22" s="245">
        <f>SUM(E22,F22,G22,H22)</f>
        <v>0</v>
      </c>
    </row>
    <row r="23" spans="1:14">
      <c r="D23" s="235" t="s">
        <v>280</v>
      </c>
      <c r="E23" s="239">
        <f>SUM(E17:E22)</f>
        <v>0</v>
      </c>
      <c r="F23" s="239">
        <f>SUM(F17:F22)</f>
        <v>33</v>
      </c>
      <c r="G23" s="239">
        <f>SUM(G17:G22)</f>
        <v>0</v>
      </c>
      <c r="H23" s="239">
        <f>SUM(H17:H22)</f>
        <v>0</v>
      </c>
      <c r="I23" s="239">
        <f>SUM(I17:I22)</f>
        <v>33</v>
      </c>
    </row>
    <row r="24" spans="1:14">
      <c r="D24" s="235"/>
      <c r="E24" s="244"/>
      <c r="F24" s="244"/>
      <c r="G24" s="244"/>
      <c r="H24" s="244"/>
      <c r="I24" s="243"/>
    </row>
    <row r="25" spans="1:14">
      <c r="D25" s="235" t="s">
        <v>281</v>
      </c>
      <c r="E25" s="240"/>
      <c r="F25" s="240"/>
      <c r="G25" s="240"/>
      <c r="H25" s="240"/>
      <c r="I25" s="240"/>
    </row>
    <row r="26" spans="1:14">
      <c r="D26" s="236" t="s">
        <v>282</v>
      </c>
      <c r="E26" s="241">
        <f>BDFE!$C$541/1000</f>
        <v>0</v>
      </c>
      <c r="F26" s="241">
        <f>BDFE!$C$471/1000</f>
        <v>0</v>
      </c>
      <c r="G26" s="241">
        <f>BDFE!$C$681/1000</f>
        <v>0</v>
      </c>
      <c r="H26" s="241">
        <f>BDFE!$C$611/1000</f>
        <v>0</v>
      </c>
      <c r="I26" s="241">
        <f>SUM(E26,F26,G26,H26)</f>
        <v>0</v>
      </c>
    </row>
    <row r="27" spans="1:14">
      <c r="D27" s="236" t="s">
        <v>283</v>
      </c>
      <c r="E27" s="242">
        <f>BDFE!$C$543/1000</f>
        <v>0</v>
      </c>
      <c r="F27" s="242">
        <f>BDFE!$C$473/1000</f>
        <v>0</v>
      </c>
      <c r="G27" s="242">
        <f>BDFE!$C$683/1000</f>
        <v>0</v>
      </c>
      <c r="H27" s="242">
        <f>BDFE!$C$613/1000</f>
        <v>0</v>
      </c>
      <c r="I27" s="242">
        <f>SUM(E27,F27,G27,H27)</f>
        <v>0</v>
      </c>
    </row>
    <row r="28" spans="1:14">
      <c r="D28" s="236" t="s">
        <v>284</v>
      </c>
      <c r="E28" s="242">
        <f>BDFE!$C$545/1000</f>
        <v>0</v>
      </c>
      <c r="F28" s="242">
        <f>BDFE!$C$475/1000</f>
        <v>0</v>
      </c>
      <c r="G28" s="242">
        <f>BDFE!$C$685/1000</f>
        <v>0</v>
      </c>
      <c r="H28" s="242">
        <f>BDFE!$C$615/1000</f>
        <v>0</v>
      </c>
      <c r="I28" s="242">
        <f>SUM(E28,F28,G28,H28)</f>
        <v>0</v>
      </c>
    </row>
    <row r="29" spans="1:14">
      <c r="D29" s="236" t="s">
        <v>285</v>
      </c>
      <c r="E29" s="242">
        <f>BDFE!$C$547/1000</f>
        <v>0</v>
      </c>
      <c r="F29" s="242">
        <f>BDFE!$C$477/1000</f>
        <v>0</v>
      </c>
      <c r="G29" s="242">
        <f>BDFE!$C$687/1000</f>
        <v>0</v>
      </c>
      <c r="H29" s="242">
        <f>BDFE!$C$617/1000</f>
        <v>0</v>
      </c>
      <c r="I29" s="242">
        <f>SUM(E29,F29,G29,H29)</f>
        <v>0</v>
      </c>
    </row>
    <row r="30" spans="1:14">
      <c r="D30" s="236" t="s">
        <v>286</v>
      </c>
      <c r="E30" s="242">
        <f>BDFE!$C$549/1000</f>
        <v>0</v>
      </c>
      <c r="F30" s="242">
        <f>BDFE!$C$479/1000</f>
        <v>0</v>
      </c>
      <c r="G30" s="242">
        <f>BDFE!$C$689/1000</f>
        <v>0</v>
      </c>
      <c r="H30" s="242">
        <f>BDFE!$C$619/1000</f>
        <v>0</v>
      </c>
      <c r="I30" s="242">
        <f>SUM(E30,F30,G30,H30)</f>
        <v>0</v>
      </c>
    </row>
    <row r="31" spans="1:14">
      <c r="D31" s="236" t="s">
        <v>287</v>
      </c>
      <c r="E31" s="242">
        <f>BDFE!$C$551/1000</f>
        <v>0</v>
      </c>
      <c r="F31" s="242">
        <f>BDFE!$C$481/1000</f>
        <v>0</v>
      </c>
      <c r="G31" s="242">
        <f>BDFE!$C$691/1000</f>
        <v>0</v>
      </c>
      <c r="H31" s="242">
        <f>BDFE!$C$621/1000</f>
        <v>0</v>
      </c>
      <c r="I31" s="242">
        <f>SUM(E31,F31,G31,H31)</f>
        <v>0</v>
      </c>
    </row>
    <row r="32" spans="1:14">
      <c r="D32" s="236" t="s">
        <v>288</v>
      </c>
      <c r="E32" s="242">
        <f>BDFE!$C$553/1000</f>
        <v>0</v>
      </c>
      <c r="F32" s="242">
        <f>BDFE!$C$483/1000</f>
        <v>0</v>
      </c>
      <c r="G32" s="242">
        <f>BDFE!$C$693/1000</f>
        <v>0</v>
      </c>
      <c r="H32" s="242">
        <f>BDFE!$C$623/1000</f>
        <v>0</v>
      </c>
      <c r="I32" s="242">
        <f>SUM(E32,F32,G32,H32)</f>
        <v>0</v>
      </c>
    </row>
    <row r="33" spans="1:14" hidden="true">
      <c r="D33" s="236" t="s">
        <v>289</v>
      </c>
      <c r="E33" s="242">
        <f>BDFE!$C$555/1000</f>
        <v>0</v>
      </c>
      <c r="F33" s="242">
        <f>BDFE!$C$485/1000</f>
        <v>0</v>
      </c>
      <c r="G33" s="242">
        <f>BDFE!$C$695/1000</f>
        <v>0</v>
      </c>
      <c r="H33" s="242">
        <f>BDFE!$C$625/1000</f>
        <v>0</v>
      </c>
      <c r="I33" s="242">
        <f>SUM(E33,F33,G33,H33)</f>
        <v>0</v>
      </c>
    </row>
    <row r="34" spans="1:14" hidden="true">
      <c r="D34" s="236" t="s">
        <v>290</v>
      </c>
      <c r="E34" s="242">
        <f>BDFE!$C$557/1000</f>
        <v>0</v>
      </c>
      <c r="F34" s="242">
        <f>BDFE!$C$487/1000</f>
        <v>0</v>
      </c>
      <c r="G34" s="242">
        <f>BDFE!$C$697/1000</f>
        <v>0</v>
      </c>
      <c r="H34" s="242">
        <f>BDFE!$C$627/1000</f>
        <v>0</v>
      </c>
      <c r="I34" s="242">
        <f>SUM(E34,F34,G34,H34)</f>
        <v>0</v>
      </c>
    </row>
    <row r="35" spans="1:14" hidden="true">
      <c r="D35" s="236" t="s">
        <v>291</v>
      </c>
      <c r="E35" s="242">
        <f>BDFE!$C$559/1000</f>
        <v>0</v>
      </c>
      <c r="F35" s="242">
        <f>BDFE!$C$489/1000</f>
        <v>0</v>
      </c>
      <c r="G35" s="242">
        <f>BDFE!$C$699/1000</f>
        <v>0</v>
      </c>
      <c r="H35" s="242">
        <f>BDFE!$C$629/1000</f>
        <v>0</v>
      </c>
      <c r="I35" s="242">
        <f>SUM(E35,F35,G35,H35)</f>
        <v>0</v>
      </c>
    </row>
    <row r="36" spans="1:14" hidden="true">
      <c r="D36" s="236" t="s">
        <v>292</v>
      </c>
      <c r="E36" s="242">
        <f>BDFE!$C$562/1000</f>
        <v>0</v>
      </c>
      <c r="F36" s="242">
        <f>BDFE!$C$492/1000</f>
        <v>0</v>
      </c>
      <c r="G36" s="242">
        <f>BDFE!$C$702/1000</f>
        <v>0</v>
      </c>
      <c r="H36" s="242">
        <f>BDFE!$C$632/1000</f>
        <v>0</v>
      </c>
      <c r="I36" s="242">
        <f>SUM(E36,F36,G36,H36)</f>
        <v>0</v>
      </c>
    </row>
    <row r="37" spans="1:14">
      <c r="D37" s="236" t="s">
        <v>293</v>
      </c>
      <c r="E37" s="242">
        <f>BDFE!$C$563/1000</f>
        <v>0</v>
      </c>
      <c r="F37" s="242">
        <f>BDFE!$C$493/1000</f>
        <v>0</v>
      </c>
      <c r="G37" s="242">
        <f>BDFE!$C$703/1000</f>
        <v>0</v>
      </c>
      <c r="H37" s="242">
        <f>BDFE!$C$633/1000</f>
        <v>0</v>
      </c>
      <c r="I37" s="242">
        <f>SUM(E37,F37,G37,H37)</f>
        <v>0</v>
      </c>
    </row>
    <row r="38" spans="1:14">
      <c r="D38" s="236" t="s">
        <v>31</v>
      </c>
      <c r="E38" s="245">
        <f>(BDFE!C542+BDFE!C544+BDFE!C546+BDFE!C548+BDFE!C550+BDFE!C552+BDFE!C554+BDFE!C556+BDFE!C558+BDFE!C560-BDFE!C505)/1000</f>
        <v>0</v>
      </c>
      <c r="F38" s="245">
        <f>(BDFE!C472+BDFE!C474+BDFE!C476+BDFE!C478+BDFE!C480+BDFE!C482+BDFE!C484+BDFE!C486+BDFE!C488+BDFE!C490-BDFE!C435)/1000</f>
        <v>0</v>
      </c>
      <c r="G38" s="245">
        <f>(BDFE!C682+BDFE!C684+BDFE!C686+BDFE!C688+BDFE!C690+BDFE!C692+BDFE!C694+BDFE!C696+BDFE!C698+BDFE!C700-BDFE!C645)/1000</f>
        <v>0</v>
      </c>
      <c r="H38" s="245">
        <f>(BDFE!C612+BDFE!C614+BDFE!C616+BDFE!C618+BDFE!C620+BDFE!C622+BDFE!C624+BDFE!C626+BDFE!C628+BDFE!C630-BDFE!C575)/1000</f>
        <v>0</v>
      </c>
      <c r="I38" s="245">
        <f>SUM(E38,F38,G38,H38)</f>
        <v>0</v>
      </c>
    </row>
    <row r="39" spans="1:14">
      <c r="D39" s="235" t="s">
        <v>294</v>
      </c>
      <c r="E39" s="254">
        <f>SUM(E26:E38)</f>
        <v>0</v>
      </c>
      <c r="F39" s="239">
        <f>SUM(F26:F38)</f>
        <v>0</v>
      </c>
      <c r="G39" s="239">
        <f>SUM(G26:G38)</f>
        <v>0</v>
      </c>
      <c r="H39" s="239">
        <f>SUM(H26:H38)</f>
        <v>0</v>
      </c>
      <c r="I39" s="239">
        <f>SUM(I26:I38)</f>
        <v>0</v>
      </c>
    </row>
    <row r="40" spans="1:14">
      <c r="D40" s="236"/>
      <c r="E40" s="246"/>
      <c r="F40" s="246"/>
      <c r="G40" s="246"/>
      <c r="H40" s="246"/>
      <c r="I40" s="249"/>
    </row>
    <row r="41" spans="1:14">
      <c r="D41" s="235" t="s">
        <v>295</v>
      </c>
      <c r="E41" s="247">
        <f>E4+E14+E23+E39</f>
        <v>-24.15004</v>
      </c>
      <c r="F41" s="247">
        <f>F4+F14+F23+F39</f>
        <v>8.932</v>
      </c>
      <c r="G41" s="247">
        <f>G4+G14+G23+G39</f>
        <v>-1.45348</v>
      </c>
      <c r="H41" s="247">
        <f>H4+H14+H23+H39</f>
        <v>2.725</v>
      </c>
      <c r="I41" s="239">
        <f>I4+I14+I23+I39</f>
        <v>-13.94652</v>
      </c>
    </row>
    <row r="42" spans="1:14">
      <c r="D42" s="237" t="s">
        <v>296</v>
      </c>
      <c r="E42" s="247">
        <f>(BDBG!$H$381)/1000</f>
        <v>7.86505</v>
      </c>
      <c r="F42" s="247">
        <f>BDBG!$H$327/1000</f>
        <v>7.13025</v>
      </c>
      <c r="G42" s="247">
        <f>BDBG!$H$489/1000</f>
        <v>2.90918</v>
      </c>
      <c r="H42" s="247">
        <f>(BDBG!$H$435+BDBG!$H$436)/1000</f>
        <v>0.3078</v>
      </c>
      <c r="I42" s="239">
        <f>SUM(E42,F42,G42,H42)</f>
        <v>18.21228</v>
      </c>
    </row>
    <row r="43" spans="1:14">
      <c r="D43" s="237" t="s">
        <v>297</v>
      </c>
      <c r="E43" s="247">
        <f>SUM(E41:E42)</f>
        <v>-16.28499</v>
      </c>
      <c r="F43" s="247">
        <f>SUM(F41:F42)</f>
        <v>16.06225</v>
      </c>
      <c r="G43" s="247">
        <f>SUM(G41:G42)</f>
        <v>1.4557</v>
      </c>
      <c r="H43" s="247">
        <f>SUM(H41:H42)</f>
        <v>3.0328</v>
      </c>
      <c r="I43" s="247">
        <f>SUM(I41:I42)</f>
        <v>4.26576</v>
      </c>
    </row>
    <row r="45" spans="1:14">
      <c r="I45" s="253">
        <f>BG!$C$4</f>
        <v/>
      </c>
    </row>
    <row r="46" spans="1:14">
      <c r="I46" t="s">
        <v>298</v>
      </c>
    </row>
    <row r="50" spans="1:14">
      <c r="D50" s="250"/>
      <c r="E50" s="235" t="s">
        <v>299</v>
      </c>
      <c r="F50" s="236"/>
      <c r="G50" s="236"/>
      <c r="H50" s="236"/>
      <c r="I50" s="236"/>
    </row>
    <row r="51" spans="1:14" customHeight="1" ht="28.5">
      <c r="D51" s="251" t="s">
        <v>300</v>
      </c>
      <c r="E51" s="238" t="s">
        <v>68</v>
      </c>
      <c r="F51" s="238" t="s">
        <v>263</v>
      </c>
      <c r="G51" s="238" t="s">
        <v>70</v>
      </c>
      <c r="H51" s="248" t="s">
        <v>71</v>
      </c>
      <c r="I51" s="238" t="s">
        <v>301</v>
      </c>
    </row>
    <row r="52" spans="1:14">
      <c r="D52" s="235" t="s">
        <v>264</v>
      </c>
      <c r="E52" s="239">
        <f>(BDFE!F514+BDFE!F505)/1000</f>
        <v>-53.63116</v>
      </c>
      <c r="F52" s="239">
        <f>(BDFE!F444+BDFE!F435)/1000</f>
        <v>-20.7791</v>
      </c>
      <c r="G52" s="239">
        <f>(BDFE!F654+BDFE!F645)/1000</f>
        <v>-1.253</v>
      </c>
      <c r="H52" s="239">
        <f>(BDFE!F584+BDFE!F575)/1000</f>
        <v>-0.975</v>
      </c>
      <c r="I52" s="239">
        <f>SUM(E52,F52,G52,H52)</f>
        <v>-76.63826</v>
      </c>
    </row>
    <row r="53" spans="1:14">
      <c r="D53" s="236"/>
      <c r="E53" s="240"/>
      <c r="F53" s="240"/>
      <c r="G53" s="240"/>
      <c r="H53" s="240"/>
      <c r="I53" s="240"/>
    </row>
    <row r="54" spans="1:14">
      <c r="D54" s="235" t="s">
        <v>265</v>
      </c>
      <c r="E54" s="240"/>
      <c r="F54" s="240"/>
      <c r="G54" s="240"/>
      <c r="H54" s="240"/>
      <c r="I54" s="240"/>
    </row>
    <row r="55" spans="1:14">
      <c r="D55" s="236" t="s">
        <v>266</v>
      </c>
      <c r="E55" s="241">
        <f>BDFE!$F$516/1000</f>
        <v>-15.00001</v>
      </c>
      <c r="F55" s="241">
        <f>(BDFE!$F$446)/1000</f>
        <v>0</v>
      </c>
      <c r="G55" s="241">
        <f>BDFE!$F$656/1000</f>
        <v>0</v>
      </c>
      <c r="H55" s="241">
        <f>BDFE!$F$586/1000</f>
        <v>0</v>
      </c>
      <c r="I55" s="241">
        <f>SUM(E55,F55,G55,H55)</f>
        <v>-15.00001</v>
      </c>
    </row>
    <row r="56" spans="1:14">
      <c r="D56" s="236" t="s">
        <v>267</v>
      </c>
      <c r="E56" s="242">
        <f>(BDFE!F517+BDFE!F518+BDFE!F519)/1000</f>
        <v>0</v>
      </c>
      <c r="F56" s="242">
        <f>(BDFE!F447+BDFE!F448+BDFE!F449)/1000</f>
        <v>0</v>
      </c>
      <c r="G56" s="242">
        <f>(BDFE!F657+BDFE!F658+BDFE!F659)/1000</f>
        <v>0</v>
      </c>
      <c r="H56" s="242">
        <f>(BDFE!F587+BDFE!F588+BDFE!F589)/1000</f>
        <v>0</v>
      </c>
      <c r="I56" s="242">
        <f>SUM(E56,F56,G56,H56)</f>
        <v>0</v>
      </c>
    </row>
    <row r="57" spans="1:14">
      <c r="D57" s="236" t="s">
        <v>268</v>
      </c>
      <c r="E57" s="242">
        <f>BDFE!$F$520/1000</f>
        <v>0</v>
      </c>
      <c r="F57" s="242">
        <f>BDFE!$F$450/1000</f>
        <v>0</v>
      </c>
      <c r="G57" s="242">
        <f>BDFE!$F$660/1000</f>
        <v>0</v>
      </c>
      <c r="H57" s="242">
        <f>BDFE!$F$590/1000</f>
        <v>0</v>
      </c>
      <c r="I57" s="242">
        <f>SUM(E57,F57,G57,H57)</f>
        <v>0</v>
      </c>
    </row>
    <row r="58" spans="1:14">
      <c r="D58" s="236" t="s">
        <v>269</v>
      </c>
      <c r="E58" s="242">
        <f>(BDFE!F521+BDFE!F522)/1000</f>
        <v>25.80252</v>
      </c>
      <c r="F58" s="242">
        <f>(BDFE!F451+BDFE!F452)/1000</f>
        <v>-3.3246</v>
      </c>
      <c r="G58" s="242">
        <f>(BDFE!F661+BDFE!F662)/1000</f>
        <v>-0.20048</v>
      </c>
      <c r="H58" s="242">
        <f>(BDFE!F591+BDFE!F592)/1000</f>
        <v>0</v>
      </c>
      <c r="I58" s="242">
        <f>SUM(E58,F58,G58,H58)</f>
        <v>22.27744</v>
      </c>
    </row>
    <row r="59" spans="1:14">
      <c r="D59" s="236" t="s">
        <v>270</v>
      </c>
      <c r="E59" s="242">
        <f>BDFE!$F$523/1000</f>
        <v>36.88049</v>
      </c>
      <c r="F59" s="242">
        <f>BDFE!$F$453/1000</f>
        <v>0</v>
      </c>
      <c r="G59" s="242">
        <f>BDFE!$F$663/1000</f>
        <v>0</v>
      </c>
      <c r="H59" s="242">
        <f>BDFE!$F$593/1000</f>
        <v>0</v>
      </c>
      <c r="I59" s="242">
        <f>SUM(E59,F59,G59,H59)</f>
        <v>36.88049</v>
      </c>
    </row>
    <row r="60" spans="1:14">
      <c r="D60" s="236" t="s">
        <v>271</v>
      </c>
      <c r="E60" s="242">
        <f>(BDFE!F524+BDFE!F525)/1000</f>
        <v>0</v>
      </c>
      <c r="F60" s="242">
        <f>(BDFE!F454 +BDFE!F455)/1000</f>
        <v>0</v>
      </c>
      <c r="G60" s="242">
        <f>(BDFE!F664+BDFE!F665)/1000</f>
        <v>0</v>
      </c>
      <c r="H60" s="242">
        <f>(BDFE!F594+BDFE!F595)/1000</f>
        <v>3.7</v>
      </c>
      <c r="I60" s="242">
        <f>SUM(E60,F60,G60,H60)</f>
        <v>3.7</v>
      </c>
    </row>
    <row r="61" spans="1:14">
      <c r="D61" s="236" t="s">
        <v>272</v>
      </c>
      <c r="E61" s="242">
        <f>(BDFE!F526+BDFE!F527+BDFE!F528+BDFE!F529)/1000</f>
        <v>-18.20188</v>
      </c>
      <c r="F61" s="242">
        <f>(BDFE!$F$456+ BDFE!F457+BDFE!F458+BDFE!F459)/1000</f>
        <v>0.0357</v>
      </c>
      <c r="G61" s="242">
        <f>(BDFE!F666+BDFE!F667+BDFE!F668+BDFE!F669)/1000</f>
        <v>0</v>
      </c>
      <c r="H61" s="242">
        <f>(BDFE!F596+BDFE!F597+BDFE!F598+BDFE!F599)/1000</f>
        <v>0</v>
      </c>
      <c r="I61" s="242">
        <f>SUM(E61,F61,G61,H61)</f>
        <v>-18.16618</v>
      </c>
    </row>
    <row r="62" spans="1:14">
      <c r="D62" s="235" t="s">
        <v>265</v>
      </c>
      <c r="E62" s="239">
        <f>SUM(E55:E61)</f>
        <v>29.48112</v>
      </c>
      <c r="F62" s="239">
        <f>SUM(F55:F61)</f>
        <v>-3.2889</v>
      </c>
      <c r="G62" s="239">
        <f>SUM(G55:G61)</f>
        <v>-0.20048</v>
      </c>
      <c r="H62" s="239">
        <f>SUM(H55:H61)</f>
        <v>3.7</v>
      </c>
      <c r="I62" s="239">
        <f>SUM(I55:I61)</f>
        <v>29.69174</v>
      </c>
    </row>
    <row r="63" spans="1:14">
      <c r="D63" s="236"/>
      <c r="E63" s="243"/>
      <c r="F63" s="243"/>
      <c r="G63" s="243"/>
      <c r="H63" s="243"/>
      <c r="I63" s="243"/>
    </row>
    <row r="64" spans="1:14">
      <c r="D64" s="235" t="s">
        <v>273</v>
      </c>
      <c r="E64" s="240"/>
      <c r="F64" s="240"/>
      <c r="G64" s="240"/>
      <c r="H64" s="240"/>
      <c r="I64" s="240"/>
    </row>
    <row r="65" spans="1:14">
      <c r="D65" s="236" t="s">
        <v>274</v>
      </c>
      <c r="E65" s="241">
        <f>BDFE!$F$532/1000</f>
        <v>0</v>
      </c>
      <c r="F65" s="241">
        <f>BDFE!$F$462/1000</f>
        <v>0</v>
      </c>
      <c r="G65" s="241">
        <f>BDFE!$F$672/1000</f>
        <v>0</v>
      </c>
      <c r="H65" s="241">
        <f>BDFE!$F$602/1000</f>
        <v>0</v>
      </c>
      <c r="I65" s="241">
        <f>SUM(E65,F65,G65,H65)</f>
        <v>0</v>
      </c>
    </row>
    <row r="66" spans="1:14">
      <c r="D66" s="236" t="s">
        <v>275</v>
      </c>
      <c r="E66" s="242">
        <f>BDFE!$F$533/1000</f>
        <v>0</v>
      </c>
      <c r="F66" s="242">
        <f>BDFE!$F$463/1000</f>
        <v>33</v>
      </c>
      <c r="G66" s="242">
        <f>BDFE!$F$673/1000</f>
        <v>0</v>
      </c>
      <c r="H66" s="242">
        <f>BDFE!F603/1000</f>
        <v>0</v>
      </c>
      <c r="I66" s="242">
        <f>SUM(E66,F66,G66,H66)</f>
        <v>33</v>
      </c>
    </row>
    <row r="67" spans="1:14">
      <c r="D67" s="236" t="s">
        <v>276</v>
      </c>
      <c r="E67" s="242">
        <f>BDFE!$F$534/1000</f>
        <v>0</v>
      </c>
      <c r="F67" s="242">
        <f>BDFE!$F$464/1000</f>
        <v>0</v>
      </c>
      <c r="G67" s="242">
        <f>BDFE!$F$674/1000</f>
        <v>0</v>
      </c>
      <c r="H67" s="242">
        <f>BDFE!F604/1000</f>
        <v>0</v>
      </c>
      <c r="I67" s="242">
        <f>SUM(E67,F67,G67,H67)</f>
        <v>0</v>
      </c>
    </row>
    <row r="68" spans="1:14">
      <c r="D68" s="236" t="s">
        <v>277</v>
      </c>
      <c r="E68" s="242">
        <f>BDFE!$F$535/1000</f>
        <v>0</v>
      </c>
      <c r="F68" s="242">
        <f>BDFE!$F$465/1000</f>
        <v>0</v>
      </c>
      <c r="G68" s="242">
        <f>BDFE!$F$675/1000</f>
        <v>0</v>
      </c>
      <c r="H68" s="242">
        <f>BDFE!F605/1000</f>
        <v>0</v>
      </c>
      <c r="I68" s="242">
        <f>SUM(E68,F68,G68,H68)</f>
        <v>0</v>
      </c>
    </row>
    <row r="69" spans="1:14">
      <c r="D69" s="236" t="s">
        <v>278</v>
      </c>
      <c r="E69" s="242">
        <f>(BDFE!F536+BDFE!F537)/1000</f>
        <v>0</v>
      </c>
      <c r="F69" s="242">
        <f>(BDFE!F466+BDFE!F467)/1000</f>
        <v>0</v>
      </c>
      <c r="G69" s="242">
        <f>(BDFE!F676+BDFE!F677)/1000</f>
        <v>0</v>
      </c>
      <c r="H69" s="242">
        <f>(BDFE!F606+BDFE!F607)/1000</f>
        <v>0</v>
      </c>
      <c r="I69" s="242">
        <f>SUM(E69,F69,G69,H69)</f>
        <v>0</v>
      </c>
    </row>
    <row r="70" spans="1:14">
      <c r="D70" s="236" t="s">
        <v>279</v>
      </c>
      <c r="E70" s="242">
        <f>BDFE!$F$538/1000</f>
        <v>0</v>
      </c>
      <c r="F70" s="242">
        <f>BDFE!F468/1000</f>
        <v>0</v>
      </c>
      <c r="G70" s="242">
        <f>BDFE!$F$678/1000</f>
        <v>0</v>
      </c>
      <c r="H70" s="242">
        <f>BDFE!$F$608/1000</f>
        <v>0</v>
      </c>
      <c r="I70" s="242">
        <f>SUM(E70,F70,G70,H70)</f>
        <v>0</v>
      </c>
    </row>
    <row r="71" spans="1:14">
      <c r="D71" s="235" t="s">
        <v>280</v>
      </c>
      <c r="E71" s="239">
        <f>SUM(E65:E70)</f>
        <v>0</v>
      </c>
      <c r="F71" s="239">
        <f>SUM(F65:F70)</f>
        <v>33</v>
      </c>
      <c r="G71" s="239">
        <f>SUM(G65:G70)</f>
        <v>0</v>
      </c>
      <c r="H71" s="239">
        <f>SUM(H65:H70)</f>
        <v>0</v>
      </c>
      <c r="I71" s="239">
        <f>SUM(I65:I70)</f>
        <v>33</v>
      </c>
    </row>
    <row r="72" spans="1:14">
      <c r="D72" s="235"/>
      <c r="E72" s="244"/>
      <c r="F72" s="244"/>
      <c r="G72" s="244"/>
      <c r="H72" s="244"/>
      <c r="I72" s="244"/>
    </row>
    <row r="73" spans="1:14">
      <c r="D73" s="235" t="s">
        <v>281</v>
      </c>
      <c r="E73" s="252"/>
      <c r="F73" s="252"/>
      <c r="G73" s="252"/>
      <c r="H73" s="252"/>
      <c r="I73" s="252"/>
    </row>
    <row r="74" spans="1:14">
      <c r="D74" s="236" t="s">
        <v>282</v>
      </c>
      <c r="E74" s="241">
        <f>BDFE!$F$541/1000</f>
        <v>0</v>
      </c>
      <c r="F74" s="241">
        <f>BDFE!$F$471/1000</f>
        <v>0</v>
      </c>
      <c r="G74" s="241">
        <f>BDFE!$F$681/1000</f>
        <v>0</v>
      </c>
      <c r="H74" s="241">
        <f>BDFE!$F$611/1000</f>
        <v>0</v>
      </c>
      <c r="I74" s="242">
        <f>SUM(E74,F74,G74,H74)</f>
        <v>0</v>
      </c>
    </row>
    <row r="75" spans="1:14">
      <c r="D75" s="236" t="s">
        <v>283</v>
      </c>
      <c r="E75" s="242">
        <f>BDFE!$F$543/1000</f>
        <v>0</v>
      </c>
      <c r="F75" s="242">
        <f>BDFE!$F$473/1000</f>
        <v>0</v>
      </c>
      <c r="G75" s="242">
        <f>BDFE!$F$683/1000</f>
        <v>0</v>
      </c>
      <c r="H75" s="242">
        <f>BDFE!$F$613/1000</f>
        <v>0</v>
      </c>
      <c r="I75" s="242">
        <f>SUM(E75,F75,G75,H75)</f>
        <v>0</v>
      </c>
    </row>
    <row r="76" spans="1:14">
      <c r="D76" s="236" t="s">
        <v>284</v>
      </c>
      <c r="E76" s="242">
        <f>BDFE!$F$545/1000</f>
        <v>0</v>
      </c>
      <c r="F76" s="242">
        <f>BDFE!$F$475/1000</f>
        <v>0</v>
      </c>
      <c r="G76" s="242">
        <f>BDFE!$F$685/1000</f>
        <v>0</v>
      </c>
      <c r="H76" s="242">
        <f>BDFE!$F$615/1000</f>
        <v>0</v>
      </c>
      <c r="I76" s="242">
        <f>SUM(E76,F76,G76,H76)</f>
        <v>0</v>
      </c>
    </row>
    <row r="77" spans="1:14">
      <c r="D77" s="236" t="s">
        <v>285</v>
      </c>
      <c r="E77" s="242">
        <f>BDFE!$F$547/1000</f>
        <v>0</v>
      </c>
      <c r="F77" s="242">
        <f>BDFE!$F$477/1000</f>
        <v>0</v>
      </c>
      <c r="G77" s="242">
        <f>BDFE!$F$687/1000</f>
        <v>0</v>
      </c>
      <c r="H77" s="242">
        <f>BDFE!$F$617/1000</f>
        <v>0</v>
      </c>
      <c r="I77" s="242">
        <f>SUM(E77,F77,G77,H77)</f>
        <v>0</v>
      </c>
    </row>
    <row r="78" spans="1:14">
      <c r="D78" s="236" t="s">
        <v>286</v>
      </c>
      <c r="E78" s="242">
        <f>BDFE!$F$549/1000</f>
        <v>0</v>
      </c>
      <c r="F78" s="242">
        <f>BDFE!$F$479/1000</f>
        <v>0</v>
      </c>
      <c r="G78" s="242">
        <f>BDFE!$F$689/1000</f>
        <v>0</v>
      </c>
      <c r="H78" s="242">
        <f>BDFE!$F$619/1000</f>
        <v>0</v>
      </c>
      <c r="I78" s="242">
        <f>SUM(E78,F78,G78,H78)</f>
        <v>0</v>
      </c>
    </row>
    <row r="79" spans="1:14">
      <c r="D79" s="236" t="s">
        <v>287</v>
      </c>
      <c r="E79" s="242">
        <f>BDFE!$F$551/1000</f>
        <v>0</v>
      </c>
      <c r="F79" s="242">
        <f>BDFE!$F$481/1000</f>
        <v>0</v>
      </c>
      <c r="G79" s="242">
        <f>BDFE!$F$691/1000</f>
        <v>0</v>
      </c>
      <c r="H79" s="242">
        <f>BDFE!$F$621/1000</f>
        <v>0</v>
      </c>
      <c r="I79" s="242">
        <f>SUM(E79,F79,G79,H79)</f>
        <v>0</v>
      </c>
    </row>
    <row r="80" spans="1:14">
      <c r="D80" s="236" t="s">
        <v>288</v>
      </c>
      <c r="E80" s="242">
        <f>BDFE!$F$553/1000</f>
        <v>0</v>
      </c>
      <c r="F80" s="242">
        <f>BDFE!$F$483/1000</f>
        <v>0</v>
      </c>
      <c r="G80" s="242">
        <f>BDFE!$F$693/1000</f>
        <v>0</v>
      </c>
      <c r="H80" s="242">
        <f>BDFE!$F$623/1000</f>
        <v>0</v>
      </c>
      <c r="I80" s="242">
        <f>SUM(E80,F80,G80,H80)</f>
        <v>0</v>
      </c>
    </row>
    <row r="81" spans="1:14" hidden="true">
      <c r="D81" s="236" t="s">
        <v>289</v>
      </c>
      <c r="E81" s="242">
        <f>BDFE!$F$555/1000</f>
        <v>0</v>
      </c>
      <c r="F81" s="242">
        <f>BDFE!$F$485/1000</f>
        <v>0</v>
      </c>
      <c r="G81" s="242">
        <f>BDFE!$F$695/1000</f>
        <v>0</v>
      </c>
      <c r="H81" s="242">
        <f>BDFE!$F$625/1000</f>
        <v>0</v>
      </c>
      <c r="I81" s="242">
        <f>SUM(E81,F81,G81,H81)</f>
        <v>0</v>
      </c>
    </row>
    <row r="82" spans="1:14" hidden="true">
      <c r="D82" s="236" t="s">
        <v>290</v>
      </c>
      <c r="E82" s="242">
        <f>BDFE!$F$557/1000</f>
        <v>0</v>
      </c>
      <c r="F82" s="242">
        <f>BDFE!$F$487/1000</f>
        <v>0</v>
      </c>
      <c r="G82" s="242">
        <f>BDFE!$F$697/1000</f>
        <v>0</v>
      </c>
      <c r="H82" s="242">
        <f>BDFE!$F$627/1000</f>
        <v>0</v>
      </c>
      <c r="I82" s="242">
        <f>SUM(E82,F82,G82,H82)</f>
        <v>0</v>
      </c>
    </row>
    <row r="83" spans="1:14" hidden="true">
      <c r="D83" s="236" t="s">
        <v>291</v>
      </c>
      <c r="E83" s="242">
        <f>BDFE!$F$559/1000</f>
        <v>0</v>
      </c>
      <c r="F83" s="242">
        <f>BDFE!$F$489/1000</f>
        <v>0</v>
      </c>
      <c r="G83" s="242">
        <f>BDFE!$F$699/1000</f>
        <v>0</v>
      </c>
      <c r="H83" s="242">
        <f>BDFE!$F$629/1000</f>
        <v>0</v>
      </c>
      <c r="I83" s="242">
        <f>SUM(E83,F83,G83,H83)</f>
        <v>0</v>
      </c>
    </row>
    <row r="84" spans="1:14" hidden="true">
      <c r="D84" s="236" t="s">
        <v>292</v>
      </c>
      <c r="E84" s="242">
        <f>BDFE!$F$562/1000</f>
        <v>0</v>
      </c>
      <c r="F84" s="242">
        <f>BDFE!$F$492/1000</f>
        <v>0</v>
      </c>
      <c r="G84" s="242">
        <f>BDFE!$F$702/1000</f>
        <v>0</v>
      </c>
      <c r="H84" s="242">
        <f>BDFE!$F$632/1000</f>
        <v>0</v>
      </c>
      <c r="I84" s="242">
        <f>SUM(E84,F84,G84,H84)</f>
        <v>0</v>
      </c>
    </row>
    <row r="85" spans="1:14">
      <c r="D85" s="236" t="s">
        <v>293</v>
      </c>
      <c r="E85" s="242">
        <f>BDFE!$F$563/1000</f>
        <v>0</v>
      </c>
      <c r="F85" s="242">
        <f>BDFE!$F$493/1000</f>
        <v>0</v>
      </c>
      <c r="G85" s="242">
        <f>BDFE!$F$703/1000</f>
        <v>0</v>
      </c>
      <c r="H85" s="242">
        <f>BDFE!$F$633/1000</f>
        <v>0</v>
      </c>
      <c r="I85" s="242">
        <f>SUM(E85,F85,G85,H85)</f>
        <v>0</v>
      </c>
    </row>
    <row r="86" spans="1:14">
      <c r="D86" s="236" t="s">
        <v>31</v>
      </c>
      <c r="E86" s="245">
        <f>(BDFE!F542+BDFE!F544+BDFE!F546+BDFE!F548+BDFE!F550+BDFE!F552+BDFE!F554+BDFE!F556+BDFE!F558+BDFE!F560-BDFE!F505)/1000</f>
        <v>0</v>
      </c>
      <c r="F86" s="245">
        <f>(BDFE!F472+BDFE!F474+BDFE!F476+BDFE!F478+BDFE!F480+BDFE!F482+BDFE!F484+BDFE!F486+BDFE!F488+BDFE!F490-BDFE!F435)/1000</f>
        <v>0</v>
      </c>
      <c r="G86" s="245">
        <f>(BDFE!F682+BDFE!F684+BDFE!F686+BDFE!F688+BDFE!F690+BDFE!F692+BDFE!F694+BDFE!F696+BDFE!F698+BDFE!F700-BDFE!F645)/1000</f>
        <v>0</v>
      </c>
      <c r="H86" s="245">
        <f>(BDFE!F612+BDFE!F614+BDFE!F616+BDFE!F618+BDFE!F620+BDFE!F622+BDFE!F624+BDFE!F626+BDFE!F628+BDFE!F630-BDFE!F575)/1000</f>
        <v>0</v>
      </c>
      <c r="I86" s="245">
        <f>SUM(E86,F86,G86,H86)</f>
        <v>0</v>
      </c>
    </row>
    <row r="87" spans="1:14">
      <c r="D87" s="235" t="s">
        <v>294</v>
      </c>
      <c r="E87" s="239">
        <f>SUM(E74:E86)</f>
        <v>0</v>
      </c>
      <c r="F87" s="239">
        <f>SUM(F74:F86)</f>
        <v>0</v>
      </c>
      <c r="G87" s="239">
        <f>SUM(G74:G86)</f>
        <v>0</v>
      </c>
      <c r="H87" s="239">
        <f>SUM(H74:H86)</f>
        <v>0</v>
      </c>
      <c r="I87" s="239">
        <f>SUM(I74:I86)</f>
        <v>0</v>
      </c>
    </row>
    <row r="88" spans="1:14">
      <c r="D88" s="236"/>
      <c r="E88" s="246"/>
      <c r="F88" s="246"/>
      <c r="G88" s="246"/>
      <c r="H88" s="246"/>
      <c r="I88" s="246"/>
    </row>
    <row r="89" spans="1:14">
      <c r="D89" s="235" t="s">
        <v>295</v>
      </c>
      <c r="E89" s="247">
        <f>E52+E62+E71+E87</f>
        <v>-24.15004</v>
      </c>
      <c r="F89" s="247">
        <f>F52+F62+F71+F87</f>
        <v>8.932</v>
      </c>
      <c r="G89" s="247">
        <f>G52+G62+G71+G87</f>
        <v>-1.45348</v>
      </c>
      <c r="H89" s="247">
        <f>H52+H62+H71+H87</f>
        <v>2.725</v>
      </c>
      <c r="I89" s="239">
        <f>I52+I62+I71+I87</f>
        <v>-13.94652</v>
      </c>
    </row>
    <row r="90" spans="1:14">
      <c r="D90" s="237" t="s">
        <v>296</v>
      </c>
      <c r="E90" s="247">
        <f>BDBG!$I$381/1000</f>
        <v>7.86505</v>
      </c>
      <c r="F90" s="247">
        <f>BDBG!$I$327/1000</f>
        <v>7.13025</v>
      </c>
      <c r="G90" s="247">
        <f>BDBG!$I$489/1000</f>
        <v>2.90918</v>
      </c>
      <c r="H90" s="247">
        <f>(BDBG!$I$435+BDBG!$I$436)/1000</f>
        <v>0.3078</v>
      </c>
      <c r="I90" s="239">
        <f>SUM(E90,F90,G90,H90)</f>
        <v>18.21228</v>
      </c>
    </row>
    <row r="91" spans="1:14">
      <c r="D91" s="237" t="s">
        <v>297</v>
      </c>
      <c r="E91" s="247">
        <f>SUM(E89:E90)</f>
        <v>-16.28499</v>
      </c>
      <c r="F91" s="247">
        <f>SUM(F89:F90)</f>
        <v>16.06225</v>
      </c>
      <c r="G91" s="247">
        <f>SUM(G89:G90)</f>
        <v>1.4557</v>
      </c>
      <c r="H91" s="247">
        <f>SUM(H89:H90)</f>
        <v>3.0328</v>
      </c>
      <c r="I91" s="247">
        <f>SUM(I89:I90)</f>
        <v>4.26576</v>
      </c>
    </row>
    <row r="93" spans="1:14">
      <c r="H93" s="183"/>
      <c r="I93" s="253"/>
    </row>
    <row r="97" spans="1:14">
      <c r="C97" t="s">
        <v>302</v>
      </c>
      <c r="E97">
        <v>201</v>
      </c>
      <c r="F97">
        <v>202</v>
      </c>
      <c r="G97">
        <v>203</v>
      </c>
      <c r="H97">
        <v>204</v>
      </c>
      <c r="I97">
        <v>208</v>
      </c>
      <c r="J97">
        <v>602</v>
      </c>
    </row>
    <row r="98" spans="1:14">
      <c r="D98" s="235" t="s">
        <v>262</v>
      </c>
      <c r="E98" s="235" t="s">
        <v>155</v>
      </c>
      <c r="F98" s="236"/>
      <c r="G98" s="236"/>
      <c r="H98" s="236"/>
      <c r="I98" s="236"/>
      <c r="J98" s="236"/>
      <c r="K98" s="236"/>
    </row>
    <row r="99" spans="1:14">
      <c r="D99" s="236"/>
      <c r="E99" s="238" t="s">
        <v>303</v>
      </c>
      <c r="F99" s="238" t="s">
        <v>86</v>
      </c>
      <c r="G99" s="238" t="s">
        <v>87</v>
      </c>
      <c r="H99" s="248" t="s">
        <v>88</v>
      </c>
      <c r="I99" s="238" t="s">
        <v>89</v>
      </c>
      <c r="J99" s="238" t="s">
        <v>304</v>
      </c>
      <c r="K99" s="238" t="s">
        <v>72</v>
      </c>
    </row>
    <row r="100" spans="1:14">
      <c r="D100" s="235" t="s">
        <v>264</v>
      </c>
      <c r="E100" s="239">
        <f>(BDFE!C22+BDFE!C11)/1000</f>
        <v>3179.74503</v>
      </c>
      <c r="F100" s="239">
        <f>(BDFE!C93+BDFE!C82)/1000</f>
        <v>1129.31734</v>
      </c>
      <c r="G100" s="239">
        <f>(BDFE!C164+BDFE!C153)/1000</f>
        <v>395.67516</v>
      </c>
      <c r="H100" s="239">
        <f>(BDFE!C235+BDFE!C224)/1000</f>
        <v>216.25283</v>
      </c>
      <c r="I100" s="239">
        <f>(BDFE!C306+BDFE!C295)/1000</f>
        <v>-44.40129</v>
      </c>
      <c r="J100" s="239">
        <f>(BDFE!C377+BDFE!C366)/1000</f>
        <v>63.64537</v>
      </c>
      <c r="K100" s="239">
        <f>SUM(E100,F100,G100,H100,I100,J100)</f>
        <v>4940.23444</v>
      </c>
    </row>
    <row r="101" spans="1:14">
      <c r="D101" s="236"/>
      <c r="E101" s="240"/>
      <c r="F101" s="240"/>
      <c r="G101" s="240"/>
      <c r="H101" s="240"/>
      <c r="I101" s="240"/>
      <c r="J101" s="240"/>
      <c r="K101" s="240"/>
    </row>
    <row r="102" spans="1:14">
      <c r="D102" s="235" t="s">
        <v>265</v>
      </c>
      <c r="E102" s="240"/>
      <c r="F102" s="240"/>
      <c r="G102" s="240"/>
      <c r="H102" s="240"/>
      <c r="I102" s="240"/>
      <c r="J102" s="240"/>
      <c r="K102" s="240"/>
    </row>
    <row r="103" spans="1:14">
      <c r="D103" s="236" t="s">
        <v>266</v>
      </c>
      <c r="E103" s="241">
        <f>BDFE!$C$25/1000</f>
        <v>0</v>
      </c>
      <c r="F103" s="241">
        <f>BDFE!$C$96/1000</f>
        <v>482.56085</v>
      </c>
      <c r="G103" s="241">
        <f>BDFE!$C$167/1000</f>
        <v>5765.40993</v>
      </c>
      <c r="H103" s="241">
        <f>(BDFE!$C$238)/1000</f>
        <v>304.69158</v>
      </c>
      <c r="I103" s="241">
        <f>BDFE!$C$309/1000</f>
        <v>164.98336</v>
      </c>
      <c r="J103" s="241">
        <f>BDFE!$C$380/1000</f>
        <v>-38.52232</v>
      </c>
      <c r="K103" s="241">
        <f>SUM(E103,F103,G103,H103,I103,J103)</f>
        <v>6679.1234</v>
      </c>
    </row>
    <row r="104" spans="1:14">
      <c r="D104" s="236" t="s">
        <v>267</v>
      </c>
      <c r="E104" s="242">
        <f>(BDFE!C26+BDFE!C27)/1000</f>
        <v>-4849.50243</v>
      </c>
      <c r="F104" s="242">
        <f>(BDFE!C97+BDFE!C98)/1000</f>
        <v>172.10772</v>
      </c>
      <c r="G104" s="242">
        <f>(BDFE!C168+BDFE!C169)/1000</f>
        <v>-499.40868</v>
      </c>
      <c r="H104" s="242">
        <f>(BDFE!C239+BDFE!C240)/1000</f>
        <v>1469.38262</v>
      </c>
      <c r="I104" s="242">
        <f>(BDFE!C310+BDFE!C311)/1000</f>
        <v>0.00028</v>
      </c>
      <c r="J104" s="242">
        <f>(BDFE!C381+BDFE!C382)/1000</f>
        <v>0</v>
      </c>
      <c r="K104" s="242">
        <f>SUM(E104,F104,G104,H104,I104,J104)</f>
        <v>-3707.42049</v>
      </c>
    </row>
    <row r="105" spans="1:14">
      <c r="D105" s="236" t="s">
        <v>268</v>
      </c>
      <c r="E105" s="242">
        <f>BDFE!$C$28/1000</f>
        <v>437.24231</v>
      </c>
      <c r="F105" s="242">
        <f>BDFE!$C$99/1000</f>
        <v>0</v>
      </c>
      <c r="G105" s="242">
        <f>BDFE!$C$170/1000</f>
        <v>1038.80673</v>
      </c>
      <c r="H105" s="242">
        <f>BDFE!$C$241/1000</f>
        <v>0</v>
      </c>
      <c r="I105" s="242">
        <f>BDFE!$C$312/1000</f>
        <v>0</v>
      </c>
      <c r="J105" s="242">
        <f>BDFE!$C$383/1000</f>
        <v>0</v>
      </c>
      <c r="K105" s="242">
        <f>SUM(E105,F105,G105,H105,I105,J105)</f>
        <v>1476.04904</v>
      </c>
    </row>
    <row r="106" spans="1:14">
      <c r="D106" s="236" t="s">
        <v>269</v>
      </c>
      <c r="E106" s="242">
        <f>(BDFE!C29+BDFE!C30)/1000</f>
        <v>1463.25052</v>
      </c>
      <c r="F106" s="242">
        <f>(BDFE!C100+BDFE!C101)/1000</f>
        <v>-1638.48972</v>
      </c>
      <c r="G106" s="242">
        <f>(BDFE!C171+BDFE!C172)/1000</f>
        <v>-3282.26412</v>
      </c>
      <c r="H106" s="242">
        <f>(BDFE!C242+BDFE!C243)/1000</f>
        <v>-331.7911</v>
      </c>
      <c r="I106" s="242">
        <f>(BDFE!C313+BDFE!C314)/1000</f>
        <v>-31.70339</v>
      </c>
      <c r="J106" s="242">
        <f>(BDFE!C384+BDFE!C385)/1000</f>
        <v>-27.8644</v>
      </c>
      <c r="K106" s="242">
        <f>SUM(E106,F106,G106,H106,I106,J106)</f>
        <v>-3848.86221</v>
      </c>
    </row>
    <row r="107" spans="1:14">
      <c r="D107" s="236" t="s">
        <v>270</v>
      </c>
      <c r="E107" s="242">
        <f>BDFE!$C$31/1000</f>
        <v>-2596.975</v>
      </c>
      <c r="F107" s="242">
        <f>BDFE!$C$102/1000</f>
        <v>0</v>
      </c>
      <c r="G107" s="242">
        <f>BDFE!$C$173/1000</f>
        <v>-3857.80534</v>
      </c>
      <c r="H107" s="242">
        <f>BDFE!$C$244/1000</f>
        <v>0</v>
      </c>
      <c r="I107" s="242">
        <f>BDFE!$C$315/1000</f>
        <v>0</v>
      </c>
      <c r="J107" s="242">
        <f>BDFE!$C$386/1000</f>
        <v>0</v>
      </c>
      <c r="K107" s="242">
        <f>SUM(E107,F107,G107,H107,I107,J107)</f>
        <v>-6454.78034</v>
      </c>
    </row>
    <row r="108" spans="1:14">
      <c r="D108" s="236" t="s">
        <v>271</v>
      </c>
      <c r="E108" s="242">
        <f>(BDFE!C32+BDFE!C33)/1000</f>
        <v>-1934.54894</v>
      </c>
      <c r="F108" s="242">
        <f>(BDFE!C103+BDFE!C104)/1000</f>
        <v>1870.41077</v>
      </c>
      <c r="G108" s="242">
        <f>(BDFE!C174+BDFE!C175)/1000</f>
        <v>5016.44821</v>
      </c>
      <c r="H108" s="242">
        <f>(BDFE!C245+BDFE!C246)/1000</f>
        <v>-336.65777</v>
      </c>
      <c r="I108" s="242">
        <f>(BDFE!C316+BDFE!C317)/1000</f>
        <v>-57.43095</v>
      </c>
      <c r="J108" s="242">
        <f>(BDFE!C387+BDFE!C388)/1000</f>
        <v>40.53378</v>
      </c>
      <c r="K108" s="242">
        <f>SUM(E108,F108,G108,H108,I108,J108)</f>
        <v>4598.7551</v>
      </c>
    </row>
    <row r="109" spans="1:14">
      <c r="D109" s="236" t="s">
        <v>272</v>
      </c>
      <c r="E109" s="242">
        <f>(BDFE!C34+BDFE!C35+BDFE!C36)/1000</f>
        <v>-1526.925</v>
      </c>
      <c r="F109" s="242">
        <f>(BDFE!C105+BDFE!C106+BDFE!C107)/1000</f>
        <v>-212.16531</v>
      </c>
      <c r="G109" s="242">
        <f>(BDFE!C176+BDFE!C177+BDFE!C178)/1000</f>
        <v>-1909.50115</v>
      </c>
      <c r="H109" s="242">
        <f>(BDFE!C247+BDFE!C248+BDFE!C249)/1000</f>
        <v>-1165.36118</v>
      </c>
      <c r="I109" s="242">
        <f>(BDFE!C318+BDFE!C319+BDFE!C320)/1000</f>
        <v>-6.59638</v>
      </c>
      <c r="J109" s="242">
        <f>(BDFE!C389+BDFE!C390+BDFE!C391)/1000</f>
        <v>16.32372</v>
      </c>
      <c r="K109" s="242">
        <f>SUM(E109,F109,G109,H109,I109,J109)</f>
        <v>-4804.2253</v>
      </c>
    </row>
    <row r="110" spans="1:14">
      <c r="D110" s="235" t="s">
        <v>265</v>
      </c>
      <c r="E110" s="239">
        <f>SUM(E103:E109)</f>
        <v>-9007.45854</v>
      </c>
      <c r="F110" s="239">
        <f>SUM(F103:F109)</f>
        <v>674.42431</v>
      </c>
      <c r="G110" s="239">
        <f>SUM(G103:G109)</f>
        <v>2271.68558</v>
      </c>
      <c r="H110" s="239">
        <f>SUM(H103:H109)</f>
        <v>-59.73585</v>
      </c>
      <c r="I110" s="239">
        <f>SUM(I103:I109)</f>
        <v>69.25292</v>
      </c>
      <c r="J110" s="239">
        <f>SUM(J103:J109)</f>
        <v>-9.52922</v>
      </c>
      <c r="K110" s="239">
        <f>SUM(K103:K109)</f>
        <v>-6061.3608</v>
      </c>
    </row>
    <row r="111" spans="1:14">
      <c r="D111" s="236"/>
      <c r="E111" s="243"/>
      <c r="F111" s="243"/>
      <c r="G111" s="243"/>
      <c r="H111" s="243"/>
      <c r="I111" s="243"/>
      <c r="J111" s="243"/>
      <c r="K111" s="243"/>
    </row>
    <row r="112" spans="1:14">
      <c r="D112" s="235" t="s">
        <v>273</v>
      </c>
      <c r="E112" s="240"/>
      <c r="F112" s="240"/>
      <c r="G112" s="240"/>
      <c r="H112" s="240"/>
      <c r="I112" s="240"/>
      <c r="J112" s="240"/>
      <c r="K112" s="240"/>
    </row>
    <row r="113" spans="1:14">
      <c r="D113" s="236" t="s">
        <v>274</v>
      </c>
      <c r="E113" s="241">
        <f>BDFE!$C$39/1000</f>
        <v>3748.95778</v>
      </c>
      <c r="F113" s="241">
        <f>BDFE!$C$110/1000</f>
        <v>0</v>
      </c>
      <c r="G113" s="241">
        <f>BDFE!$C$181/1000</f>
        <v>-107.66146</v>
      </c>
      <c r="H113" s="241">
        <f>BDFE!$C$252/1000</f>
        <v>0</v>
      </c>
      <c r="I113" s="241">
        <f>BDFE!$C$323/1000</f>
        <v>0</v>
      </c>
      <c r="J113" s="241">
        <f>BDFE!$C$394/1000</f>
        <v>0</v>
      </c>
      <c r="K113" s="241">
        <f>SUM(E113,F113,G113,H113,I113,J113)</f>
        <v>3641.29632</v>
      </c>
    </row>
    <row r="114" spans="1:14">
      <c r="D114" s="236" t="s">
        <v>275</v>
      </c>
      <c r="E114" s="242">
        <f>BDFE!$C$40/1000</f>
        <v>-0.00024</v>
      </c>
      <c r="F114" s="242">
        <f>BDFE!$C$111/1000</f>
        <v>0</v>
      </c>
      <c r="G114" s="242">
        <f>BDFE!$C$182/1000</f>
        <v>0</v>
      </c>
      <c r="H114" s="242">
        <f>BDFE!$C$253/1000</f>
        <v>0</v>
      </c>
      <c r="I114" s="242">
        <f>BDFE!$C$324/1000</f>
        <v>0</v>
      </c>
      <c r="J114" s="242">
        <f>BDFE!$C$395/1000</f>
        <v>0</v>
      </c>
      <c r="K114" s="242">
        <f>SUM(E114,F114,G114,H114,I114,J114)</f>
        <v>-0.00024</v>
      </c>
    </row>
    <row r="115" spans="1:14">
      <c r="D115" s="236" t="s">
        <v>276</v>
      </c>
      <c r="E115" s="242">
        <f>BDFE!$C$41/1000</f>
        <v>0</v>
      </c>
      <c r="F115" s="242">
        <f>BDFE!$C$112/1000</f>
        <v>0</v>
      </c>
      <c r="G115" s="242">
        <f>BDFE!$C$183/1000</f>
        <v>0</v>
      </c>
      <c r="H115" s="242">
        <f>BDFE!$C$254/1000</f>
        <v>0</v>
      </c>
      <c r="I115" s="242">
        <f>BDFE!$C$325/1000</f>
        <v>0</v>
      </c>
      <c r="J115" s="242">
        <f>BDFE!$C$396/1000</f>
        <v>0</v>
      </c>
      <c r="K115" s="242">
        <f>SUM(E115,F115,G115,H115,I115,J115)</f>
        <v>0</v>
      </c>
    </row>
    <row r="116" spans="1:14">
      <c r="D116" s="236" t="s">
        <v>277</v>
      </c>
      <c r="E116" s="242">
        <f>BDFE!$C$42/1000</f>
        <v>0</v>
      </c>
      <c r="F116" s="242">
        <f>BDFE!$C$113/1000</f>
        <v>0</v>
      </c>
      <c r="G116" s="242">
        <f>BDFE!$C$184/1000</f>
        <v>0</v>
      </c>
      <c r="H116" s="242">
        <f>BDFE!$C$255/1000</f>
        <v>0</v>
      </c>
      <c r="I116" s="242">
        <f>BDFE!$C$326/1000</f>
        <v>0</v>
      </c>
      <c r="J116" s="242">
        <f>BDFE!$C$397/1000</f>
        <v>0</v>
      </c>
      <c r="K116" s="242">
        <f>SUM(E116,F116,G116,H116,I116,J116)</f>
        <v>0</v>
      </c>
    </row>
    <row r="117" spans="1:14">
      <c r="D117" s="236" t="s">
        <v>278</v>
      </c>
      <c r="E117" s="242">
        <f>(BDFE!C43+BDFE!C44)/1000</f>
        <v>0</v>
      </c>
      <c r="F117" s="242">
        <f>(BDFE!C114+BDFE!C115)/1000</f>
        <v>0</v>
      </c>
      <c r="G117" s="242">
        <f>(BDFE!C185+BDFE!C186)/1000</f>
        <v>0</v>
      </c>
      <c r="H117" s="242">
        <f>(BDFE!C256+BDFE!C257)/1000</f>
        <v>0</v>
      </c>
      <c r="I117" s="242">
        <f>(BDFE!C327+BDFE!C328)/1000</f>
        <v>0</v>
      </c>
      <c r="J117" s="242">
        <f>(BDFE!C398+BDFE!C399)/1000</f>
        <v>0</v>
      </c>
      <c r="K117" s="242">
        <f>SUM(E117,F117,G117,H117,I117,J117)</f>
        <v>0</v>
      </c>
    </row>
    <row r="118" spans="1:14">
      <c r="D118" s="236" t="s">
        <v>279</v>
      </c>
      <c r="E118" s="242">
        <f>BDFE!$C$45/1000</f>
        <v>0</v>
      </c>
      <c r="F118" s="242">
        <f>BDFE!$C$116/1000</f>
        <v>0</v>
      </c>
      <c r="G118" s="242">
        <f>BDFE!$C$187/1000</f>
        <v>0</v>
      </c>
      <c r="H118" s="242">
        <f>BDFE!$C$258/1000</f>
        <v>0</v>
      </c>
      <c r="I118" s="245">
        <f>BDFE!$C$328/1000</f>
        <v>0</v>
      </c>
      <c r="J118" s="245">
        <f>BDFE!$C$399/1000</f>
        <v>0</v>
      </c>
      <c r="K118" s="245">
        <f>SUM(E118,F118,G118,H118,I118,J118)</f>
        <v>0</v>
      </c>
    </row>
    <row r="119" spans="1:14">
      <c r="D119" s="235" t="s">
        <v>280</v>
      </c>
      <c r="E119" s="239">
        <f>SUM(E113:E118)</f>
        <v>3748.95754</v>
      </c>
      <c r="F119" s="239">
        <f>SUM(F113:F118)</f>
        <v>0</v>
      </c>
      <c r="G119" s="239">
        <f>SUM(G113:G118)</f>
        <v>-107.66146</v>
      </c>
      <c r="H119" s="239">
        <f>SUM(H113:H118)</f>
        <v>0</v>
      </c>
      <c r="I119" s="239">
        <f>SUM(I113:I118)</f>
        <v>0</v>
      </c>
      <c r="J119" s="239">
        <f>SUM(J113:J118)</f>
        <v>0</v>
      </c>
      <c r="K119" s="239">
        <f>SUM(K113:K118)</f>
        <v>3641.29608</v>
      </c>
    </row>
    <row r="120" spans="1:14">
      <c r="D120" s="235"/>
      <c r="E120" s="244"/>
      <c r="F120" s="244"/>
      <c r="G120" s="244"/>
      <c r="H120" s="244"/>
      <c r="I120" s="243"/>
      <c r="J120" s="243"/>
      <c r="K120" s="243"/>
    </row>
    <row r="121" spans="1:14">
      <c r="D121" s="235" t="s">
        <v>281</v>
      </c>
      <c r="E121" s="240"/>
      <c r="F121" s="240"/>
      <c r="G121" s="240"/>
      <c r="H121" s="240"/>
      <c r="I121" s="240"/>
      <c r="J121" s="240"/>
      <c r="K121" s="240"/>
    </row>
    <row r="122" spans="1:14">
      <c r="D122" s="236" t="s">
        <v>282</v>
      </c>
      <c r="E122" s="241">
        <f>BDFE!$C$48/1000</f>
        <v>0</v>
      </c>
      <c r="F122" s="241">
        <f>BDFE!$C$119/1000</f>
        <v>0</v>
      </c>
      <c r="G122" s="241">
        <f>BDFE!$C$190/1000</f>
        <v>0</v>
      </c>
      <c r="H122" s="241">
        <f>BDFE!$C$261/1000</f>
        <v>0</v>
      </c>
      <c r="I122" s="241">
        <f>BDFE!$C$332/1000</f>
        <v>0</v>
      </c>
      <c r="J122" s="241">
        <f>BDFE!$C$403/1000</f>
        <v>0</v>
      </c>
      <c r="K122" s="241">
        <f>SUM(E122,F122,G122,H122,I122,J122)</f>
        <v>0</v>
      </c>
    </row>
    <row r="123" spans="1:14">
      <c r="D123" s="236" t="s">
        <v>283</v>
      </c>
      <c r="E123" s="242">
        <f>BDFE!$C$50/1000</f>
        <v>-12.68</v>
      </c>
      <c r="F123" s="242">
        <f>BDFE!$C$121/1000</f>
        <v>0</v>
      </c>
      <c r="G123" s="242">
        <f>BDFE!$C$192/1000</f>
        <v>0</v>
      </c>
      <c r="H123" s="242">
        <f>BDFE!$C$263/1000</f>
        <v>-12.90463</v>
      </c>
      <c r="I123" s="242">
        <f>BDFE!$C$334/1000</f>
        <v>0</v>
      </c>
      <c r="J123" s="242">
        <f>BDFE!$C$405/1000</f>
        <v>0</v>
      </c>
      <c r="K123" s="242">
        <f>SUM(E123,F123,G123,H123,I123,J123)</f>
        <v>-25.58463</v>
      </c>
    </row>
    <row r="124" spans="1:14">
      <c r="D124" s="236" t="s">
        <v>284</v>
      </c>
      <c r="E124" s="242">
        <f>BDFE!$C$52/1000</f>
        <v>-85.96551</v>
      </c>
      <c r="F124" s="242">
        <f>BDFE!$C$123/1000</f>
        <v>0</v>
      </c>
      <c r="G124" s="242">
        <f>BDFE!$C$194/1000</f>
        <v>0</v>
      </c>
      <c r="H124" s="242">
        <f>BDFE!$C$265/1000</f>
        <v>0</v>
      </c>
      <c r="I124" s="242">
        <f>BDFE!$C$336/1000</f>
        <v>0</v>
      </c>
      <c r="J124" s="242">
        <f>BDFE!$C$407/1000</f>
        <v>0</v>
      </c>
      <c r="K124" s="242">
        <f>SUM(E124,F124,G124,H124,I124,J124)</f>
        <v>-85.96551</v>
      </c>
    </row>
    <row r="125" spans="1:14">
      <c r="D125" s="236" t="s">
        <v>285</v>
      </c>
      <c r="E125" s="242">
        <f>BDFE!$C$54/1000</f>
        <v>0</v>
      </c>
      <c r="F125" s="242">
        <f>BDFE!$C$125/1000</f>
        <v>0</v>
      </c>
      <c r="G125" s="242">
        <f>BDFE!$C$196/1000</f>
        <v>0</v>
      </c>
      <c r="H125" s="242">
        <f>BDFE!$C$267/1000</f>
        <v>0</v>
      </c>
      <c r="I125" s="242">
        <f>BDFE!$C$338/1000</f>
        <v>0</v>
      </c>
      <c r="J125" s="242">
        <f>BDFE!$C$409/1000</f>
        <v>0</v>
      </c>
      <c r="K125" s="242">
        <f>SUM(E125,F125,G125,H125,I125,J125)</f>
        <v>0</v>
      </c>
    </row>
    <row r="126" spans="1:14">
      <c r="D126" s="236" t="s">
        <v>286</v>
      </c>
      <c r="E126" s="242">
        <f>BDFE!$C$56/1000</f>
        <v>0</v>
      </c>
      <c r="F126" s="242">
        <f>BDFE!$C$127/1000</f>
        <v>0</v>
      </c>
      <c r="G126" s="242">
        <f>BDFE!$C$198/1000</f>
        <v>0</v>
      </c>
      <c r="H126" s="242">
        <f>BDFE!$C$269/1000</f>
        <v>0</v>
      </c>
      <c r="I126" s="242">
        <f>BDFE!$C$340/1000</f>
        <v>0</v>
      </c>
      <c r="J126" s="242">
        <f>BDFE!$C$411/1000</f>
        <v>0</v>
      </c>
      <c r="K126" s="242">
        <f>SUM(E126,F126,G126,H126,I126,J126)</f>
        <v>0</v>
      </c>
    </row>
    <row r="127" spans="1:14">
      <c r="D127" s="236" t="s">
        <v>287</v>
      </c>
      <c r="E127" s="242">
        <f>BDFE!$C$58/1000</f>
        <v>0</v>
      </c>
      <c r="F127" s="242">
        <f>BDFE!$C$129/1000</f>
        <v>0</v>
      </c>
      <c r="G127" s="242">
        <f>BDFE!$C$200/1000</f>
        <v>0</v>
      </c>
      <c r="H127" s="242">
        <f>BDFE!$C$271/1000</f>
        <v>0</v>
      </c>
      <c r="I127" s="242">
        <f>BDFE!$C$342/1000</f>
        <v>0</v>
      </c>
      <c r="J127" s="242">
        <f>BDFE!$C$413/1000</f>
        <v>0</v>
      </c>
      <c r="K127" s="242">
        <f>SUM(E127,F127,G127,H127,I127,J127)</f>
        <v>0</v>
      </c>
    </row>
    <row r="128" spans="1:14">
      <c r="D128" s="236" t="s">
        <v>288</v>
      </c>
      <c r="E128" s="242">
        <f>BDFE!$C$60/1000</f>
        <v>0</v>
      </c>
      <c r="F128" s="242">
        <f>BDFE!$C$131/1000</f>
        <v>0</v>
      </c>
      <c r="G128" s="242">
        <f>BDFE!$C$202/1000</f>
        <v>0</v>
      </c>
      <c r="H128" s="242">
        <f>BDFE!$C$273/1000</f>
        <v>0</v>
      </c>
      <c r="I128" s="242">
        <f>BDFE!$C$344/1000</f>
        <v>0</v>
      </c>
      <c r="J128" s="242">
        <f>BDFE!$C$415/1000</f>
        <v>0</v>
      </c>
      <c r="K128" s="242">
        <f>SUM(E128,F128,G128,H128,I128,J128)</f>
        <v>0</v>
      </c>
    </row>
    <row r="129" spans="1:14">
      <c r="D129" s="236" t="s">
        <v>289</v>
      </c>
      <c r="E129" s="242">
        <f>BDFE!$C$62/1000</f>
        <v>20.95786</v>
      </c>
      <c r="F129" s="242">
        <f>BDFE!$C$133/1000</f>
        <v>0</v>
      </c>
      <c r="G129" s="242">
        <f>BDFE!$C$204/1000</f>
        <v>5.31349</v>
      </c>
      <c r="H129" s="242">
        <f>BDFE!$C$275/1000</f>
        <v>0</v>
      </c>
      <c r="I129" s="242">
        <f>BDFE!$C$346/1000</f>
        <v>0</v>
      </c>
      <c r="J129" s="242">
        <f>BDFE!$C$417/1000</f>
        <v>0</v>
      </c>
      <c r="K129" s="242">
        <f>SUM(E129,F129,G129,H129,I129,J129)</f>
        <v>26.27135</v>
      </c>
    </row>
    <row r="130" spans="1:14">
      <c r="D130" s="236" t="s">
        <v>290</v>
      </c>
      <c r="E130" s="242">
        <f>BDFE!$C$64/1000</f>
        <v>0</v>
      </c>
      <c r="F130" s="242">
        <f>BDFE!$C$135/1000</f>
        <v>0</v>
      </c>
      <c r="G130" s="242">
        <f>BDFE!$C$206/1000</f>
        <v>0</v>
      </c>
      <c r="H130" s="242">
        <f>BDFE!$C$277/1000</f>
        <v>0</v>
      </c>
      <c r="I130" s="242">
        <f>BDFE!$C$348/1000</f>
        <v>0</v>
      </c>
      <c r="J130" s="242">
        <f>BDFE!$C$419/1000</f>
        <v>0</v>
      </c>
      <c r="K130" s="242">
        <f>SUM(E130,F130,G130,H130,I130,J130)</f>
        <v>0</v>
      </c>
    </row>
    <row r="131" spans="1:14">
      <c r="D131" s="236" t="s">
        <v>291</v>
      </c>
      <c r="E131" s="242">
        <f>BDFE!$C$66/1000</f>
        <v>0</v>
      </c>
      <c r="F131" s="242">
        <f>BDFE!$C$137/1000</f>
        <v>0</v>
      </c>
      <c r="G131" s="242">
        <f>BDFE!$C$208/1000</f>
        <v>-570.53612</v>
      </c>
      <c r="H131" s="242">
        <f>BDFE!$C$279/1000</f>
        <v>0</v>
      </c>
      <c r="I131" s="242">
        <f>BDFE!$C$350/1000</f>
        <v>0</v>
      </c>
      <c r="J131" s="242">
        <f>BDFE!$C$421/1000</f>
        <v>0</v>
      </c>
      <c r="K131" s="242">
        <f>SUM(E131,F131,G131,H131,I131,J131)</f>
        <v>-570.53612</v>
      </c>
    </row>
    <row r="132" spans="1:14" hidden="true">
      <c r="D132" s="236" t="s">
        <v>292</v>
      </c>
      <c r="E132" s="242">
        <f>BDFE!$C$68/1000</f>
        <v>0</v>
      </c>
      <c r="F132" s="242">
        <f>BDFE!$C$139/1000</f>
        <v>0</v>
      </c>
      <c r="G132" s="242">
        <f>BDFE!$C$210/1000</f>
        <v>0</v>
      </c>
      <c r="H132" s="242">
        <f>BDFE!$C$281/1000</f>
        <v>0</v>
      </c>
      <c r="I132" s="242">
        <f>BDFE!$C$352/1000</f>
        <v>0</v>
      </c>
      <c r="J132" s="242">
        <f>BDFE!$C$423/1000</f>
        <v>0</v>
      </c>
      <c r="K132" s="242">
        <f>SUM(E132,F132,G132,H132,I132,J132)</f>
        <v>0</v>
      </c>
    </row>
    <row r="133" spans="1:14" hidden="true">
      <c r="D133" s="236" t="s">
        <v>293</v>
      </c>
      <c r="E133" s="242">
        <f>BDFE!$C$69/1000</f>
        <v>0</v>
      </c>
      <c r="F133" s="242">
        <f>BDFE!$C$140/1000</f>
        <v>0</v>
      </c>
      <c r="G133" s="242">
        <f>BDFE!$C$211/1000</f>
        <v>0</v>
      </c>
      <c r="H133" s="242">
        <f>BDFE!$C$282/1000</f>
        <v>0</v>
      </c>
      <c r="I133" s="242">
        <f>BDFE!$C$353/1000</f>
        <v>0</v>
      </c>
      <c r="J133" s="242">
        <f>BDFE!$C$424/1000</f>
        <v>0</v>
      </c>
      <c r="K133" s="242">
        <f>SUM(E133,F133,G133,H133,I133,J133)</f>
        <v>0</v>
      </c>
    </row>
    <row r="134" spans="1:14">
      <c r="D134" s="236" t="s">
        <v>31</v>
      </c>
      <c r="E134" s="245">
        <f>(BDFE!C49+BDFE!C51+BDFE!C53+BDFE!C55+BDFE!C57+BDFE!C59+BDFE!C61+BDFE!C63+BDFE!C65+BDFE!C67-BDFE!C11)/1000</f>
        <v>-1.1641532182693E-13</v>
      </c>
      <c r="F134" s="245">
        <f>(BDFE!C120+BDFE!C122+BDFE!C124+BDFE!C126+BDFE!C128+BDFE!C130+BDFE!C132+BDFE!C134+BDFE!C136+BDFE!C138-BDFE!C82)/1000</f>
        <v>0</v>
      </c>
      <c r="G134" s="245">
        <f>(BDFE!C191+BDFE!C193+BDFE!C195+BDFE!C197+BDFE!C199+BDFE!C201+BDFE!C203+BDFE!C205+BDFE!C207+BDFE!C209-BDFE!C153)/1000</f>
        <v>0</v>
      </c>
      <c r="H134" s="245">
        <f>(BDFE!C262+BDFE!C264+BDFE!C266+BDFE!C268+BDFE!C270+BDFE!C272+BDFE!C274+BDFE!C276+BDFE!C278+BDFE!C280-BDFE!C224)/1000</f>
        <v>0</v>
      </c>
      <c r="I134" s="245">
        <f>(BDFE!C333+BDFE!C335+BDFE!C337+BDFE!C339+BDFE!C341+BDFE!C343+BDFE!C345+BDFE!C347+BDFE!C349+BDFE!C351-BDFE!C295)/1000</f>
        <v>0</v>
      </c>
      <c r="J134" s="245">
        <f>(BDFE!C404+BDFE!C406+BDFE!C408+BDFE!C410+BDFE!C412+BDFE!C414+BDFE!C416+BDFE!C418+BDFE!C420+BDFE!C422-BDFE!C366)/1000</f>
        <v>0</v>
      </c>
      <c r="K134" s="245">
        <f>SUM(E134,F134,G134,H134,I134,J134)</f>
        <v>-1.1641532182693E-13</v>
      </c>
    </row>
    <row r="135" spans="1:14">
      <c r="D135" s="235" t="s">
        <v>294</v>
      </c>
      <c r="E135" s="239">
        <f>SUM(E122:E134)</f>
        <v>-77.68765</v>
      </c>
      <c r="F135" s="239">
        <f>SUM(F122:F134)</f>
        <v>0</v>
      </c>
      <c r="G135" s="239">
        <f>SUM(G122:G134)</f>
        <v>-565.22263</v>
      </c>
      <c r="H135" s="239">
        <f>SUM(H122:H134)</f>
        <v>-12.90463</v>
      </c>
      <c r="I135" s="239">
        <f>SUM(I122:I134)</f>
        <v>0</v>
      </c>
      <c r="J135" s="239">
        <f>SUM(J122:J134)</f>
        <v>0</v>
      </c>
      <c r="K135" s="239">
        <f>SUM(K122:K134)</f>
        <v>-655.81491</v>
      </c>
    </row>
    <row r="136" spans="1:14">
      <c r="D136" s="236"/>
      <c r="E136" s="246"/>
      <c r="F136" s="246"/>
      <c r="G136" s="246"/>
      <c r="H136" s="246"/>
      <c r="I136" s="249"/>
      <c r="J136" s="249"/>
      <c r="K136" s="249"/>
    </row>
    <row r="137" spans="1:14">
      <c r="D137" s="235" t="s">
        <v>295</v>
      </c>
      <c r="E137" s="247">
        <f>E100+E110+E119+E135</f>
        <v>-2156.44362</v>
      </c>
      <c r="F137" s="247">
        <f>F100+F110+F119+F135</f>
        <v>1803.74165</v>
      </c>
      <c r="G137" s="247">
        <f>G100+G110+G119+G135</f>
        <v>1994.47665</v>
      </c>
      <c r="H137" s="247">
        <f>H100+H110+H119+H135</f>
        <v>143.61235</v>
      </c>
      <c r="I137" s="239">
        <f>I100+I110+I119+I135</f>
        <v>24.85163</v>
      </c>
      <c r="J137" s="239">
        <f>J100+J110+J119+J135</f>
        <v>54.11615</v>
      </c>
      <c r="K137" s="239">
        <f>K100+K110+K119+K135</f>
        <v>1864.35481</v>
      </c>
    </row>
    <row r="138" spans="1:14">
      <c r="D138" s="237" t="s">
        <v>296</v>
      </c>
      <c r="E138" s="247">
        <f>(BDBG!H3+BDBG!H4)/1000</f>
        <v>13236.64363</v>
      </c>
      <c r="F138" s="247">
        <f>(BDBG!H57+BDBG!H58)/1000</f>
        <v>2976.31267</v>
      </c>
      <c r="G138" s="247">
        <f>(BDBG!H111+BDBG!H112)/1000</f>
        <v>617.87617</v>
      </c>
      <c r="H138" s="247">
        <f>(BDBG!H165+BDBG!H166)/1000</f>
        <v>256.13818</v>
      </c>
      <c r="I138" s="239">
        <f>(BDBG!H219+BDBG!H220)/1000</f>
        <v>261.57617</v>
      </c>
      <c r="J138" s="239">
        <f>(BDBG!H273+BDBG!H274)/1000</f>
        <v>67.60589</v>
      </c>
      <c r="K138" s="239">
        <f>SUM(E138,F138,G138,H138,I138,J138)</f>
        <v>17416.15271</v>
      </c>
    </row>
    <row r="139" spans="1:14">
      <c r="D139" s="237" t="s">
        <v>297</v>
      </c>
      <c r="E139" s="247">
        <f>SUM(E137:E138)</f>
        <v>11080.20001</v>
      </c>
      <c r="F139" s="247">
        <f>SUM(F137:F138)</f>
        <v>4780.05432</v>
      </c>
      <c r="G139" s="247">
        <f>SUM(G137:G138)</f>
        <v>2612.35282</v>
      </c>
      <c r="H139" s="247">
        <f>SUM(H137:H138)</f>
        <v>399.75053</v>
      </c>
      <c r="I139" s="247">
        <f>SUM(I137:I138)</f>
        <v>286.4278</v>
      </c>
      <c r="J139" s="247">
        <f>SUM(J137:J138)</f>
        <v>121.72204</v>
      </c>
      <c r="K139" s="247">
        <f>SUM(K137:K138)</f>
        <v>19280.50752</v>
      </c>
    </row>
    <row r="141" spans="1:14">
      <c r="I141" s="253"/>
      <c r="J141" s="253"/>
      <c r="K141" s="253"/>
    </row>
    <row r="146" spans="1:14">
      <c r="D146" s="250"/>
      <c r="E146" s="235" t="s">
        <v>299</v>
      </c>
      <c r="F146" s="236"/>
      <c r="G146" s="236"/>
      <c r="H146" s="236"/>
      <c r="I146" s="236"/>
      <c r="J146" s="236"/>
      <c r="K146" s="236"/>
    </row>
    <row r="147" spans="1:14">
      <c r="D147" s="251" t="s">
        <v>300</v>
      </c>
      <c r="E147" s="238" t="s">
        <v>303</v>
      </c>
      <c r="F147" s="238" t="s">
        <v>86</v>
      </c>
      <c r="G147" s="238" t="s">
        <v>87</v>
      </c>
      <c r="H147" s="248" t="s">
        <v>88</v>
      </c>
      <c r="I147" s="238" t="s">
        <v>89</v>
      </c>
      <c r="J147" s="238" t="s">
        <v>304</v>
      </c>
      <c r="K147" s="238" t="s">
        <v>72</v>
      </c>
    </row>
    <row r="148" spans="1:14">
      <c r="D148" s="235" t="s">
        <v>264</v>
      </c>
      <c r="E148" s="239">
        <f>(BDFE!F22+BDFE!F11)/1000</f>
        <v>3179.74503</v>
      </c>
      <c r="F148" s="239">
        <f>(BDFE!F93+BDFE!F82)/1000</f>
        <v>1129.31734</v>
      </c>
      <c r="G148" s="239">
        <f>(BDFE!F164+BDFE!F153)/1000</f>
        <v>395.67516</v>
      </c>
      <c r="H148" s="239">
        <f>(BDFE!F235+BDFE!F224)/1000</f>
        <v>216.25283</v>
      </c>
      <c r="I148" s="239">
        <f>(BDFE!F306+BDFE!F295)/1000</f>
        <v>-44.40129</v>
      </c>
      <c r="J148" s="239">
        <f>(BDFE!F377+BDFE!F366)/1000</f>
        <v>63.64537</v>
      </c>
      <c r="K148" s="239">
        <f>SUM(E148,F148,G148,H148,I148,J148)</f>
        <v>4940.23444</v>
      </c>
    </row>
    <row r="149" spans="1:14">
      <c r="D149" s="236"/>
      <c r="E149" s="240"/>
      <c r="F149" s="240"/>
      <c r="G149" s="240"/>
      <c r="H149" s="240"/>
      <c r="I149" s="240"/>
      <c r="J149" s="240"/>
      <c r="K149" s="240"/>
    </row>
    <row r="150" spans="1:14">
      <c r="D150" s="235" t="s">
        <v>265</v>
      </c>
      <c r="E150" s="240"/>
      <c r="F150" s="240"/>
      <c r="G150" s="240"/>
      <c r="H150" s="240"/>
      <c r="I150" s="240"/>
      <c r="J150" s="240"/>
      <c r="K150" s="240"/>
    </row>
    <row r="151" spans="1:14">
      <c r="D151" s="236" t="s">
        <v>266</v>
      </c>
      <c r="E151" s="241">
        <f>BDFE!$F$25/1000</f>
        <v>0</v>
      </c>
      <c r="F151" s="241">
        <f>BDFE!$F$96/1000</f>
        <v>482.56085</v>
      </c>
      <c r="G151" s="241">
        <f>BDFE!$F$167/1000</f>
        <v>5765.40993</v>
      </c>
      <c r="H151" s="241">
        <f>(BDFE!$F$238)/1000</f>
        <v>304.69158</v>
      </c>
      <c r="I151" s="241">
        <f>BDFE!$F$309/1000</f>
        <v>164.98336</v>
      </c>
      <c r="J151" s="241">
        <f>BDFE!$F$380/1000</f>
        <v>-38.52232</v>
      </c>
      <c r="K151" s="241">
        <f>SUM(E151,F151,G151,H151,I151,J151)</f>
        <v>6679.1234</v>
      </c>
    </row>
    <row r="152" spans="1:14">
      <c r="D152" s="236" t="s">
        <v>267</v>
      </c>
      <c r="E152" s="242">
        <f>(BDFE!F26+BDFE!F27)/1000</f>
        <v>-4849.50243</v>
      </c>
      <c r="F152" s="242">
        <f>(BDFE!F97+BDFE!F98)/1000</f>
        <v>172.10772</v>
      </c>
      <c r="G152" s="242">
        <f>(BDFE!F168+BDFE!F169)/1000</f>
        <v>-499.40868</v>
      </c>
      <c r="H152" s="242">
        <f>(BDFE!F239+BDFE!F240)/1000</f>
        <v>1469.38262</v>
      </c>
      <c r="I152" s="242">
        <f>(BDFE!F310+BDFE!F311)/1000</f>
        <v>0.00028</v>
      </c>
      <c r="J152" s="242">
        <f>(BDFE!F381+BDFE!F382)/1000</f>
        <v>0</v>
      </c>
      <c r="K152" s="242">
        <f>SUM(E152,F152,G152,H152,I152,J152)</f>
        <v>-3707.42049</v>
      </c>
    </row>
    <row r="153" spans="1:14">
      <c r="D153" s="236" t="s">
        <v>268</v>
      </c>
      <c r="E153" s="242">
        <f>BDFE!$F$28/1000</f>
        <v>437.24231</v>
      </c>
      <c r="F153" s="242">
        <f>BDFE!$F$99/1000</f>
        <v>0</v>
      </c>
      <c r="G153" s="242">
        <f>BDFE!$F$170/1000</f>
        <v>1038.80673</v>
      </c>
      <c r="H153" s="242">
        <f>BDFE!$F$241/1000</f>
        <v>0</v>
      </c>
      <c r="I153" s="242">
        <f>BDFE!$F$312/1000</f>
        <v>0</v>
      </c>
      <c r="J153" s="242">
        <f>BDFE!$F$383/1000</f>
        <v>0</v>
      </c>
      <c r="K153" s="242">
        <f>SUM(E153,F153,G153,H153,I153,J153)</f>
        <v>1476.04904</v>
      </c>
    </row>
    <row r="154" spans="1:14">
      <c r="D154" s="236" t="s">
        <v>269</v>
      </c>
      <c r="E154" s="242">
        <f>(BDFE!F29+BDFE!F30)/1000</f>
        <v>1463.25052</v>
      </c>
      <c r="F154" s="242">
        <f>(BDFE!F100+BDFE!F101)/1000</f>
        <v>-1638.48972</v>
      </c>
      <c r="G154" s="242">
        <f>(BDFE!F171+BDFE!F172)/1000</f>
        <v>-3282.26412</v>
      </c>
      <c r="H154" s="242">
        <f>(BDFE!F242+BDFE!F243)/1000</f>
        <v>-331.7911</v>
      </c>
      <c r="I154" s="242">
        <f>(BDFE!F313+BDFE!F314)/1000</f>
        <v>-31.70339</v>
      </c>
      <c r="J154" s="242">
        <f>(BDFE!F384+BDFE!F385)/1000</f>
        <v>-27.8644</v>
      </c>
      <c r="K154" s="242">
        <f>SUM(E154,F154,G154,H154,I154,J154)</f>
        <v>-3848.86221</v>
      </c>
    </row>
    <row r="155" spans="1:14">
      <c r="D155" s="236" t="s">
        <v>270</v>
      </c>
      <c r="E155" s="242">
        <f>BDFE!$F$31/1000</f>
        <v>-2596.975</v>
      </c>
      <c r="F155" s="242">
        <f>BDFE!$F$102/1000</f>
        <v>0</v>
      </c>
      <c r="G155" s="242">
        <f>BDFE!$F$173/1000</f>
        <v>-3857.80534</v>
      </c>
      <c r="H155" s="242">
        <f>BDFE!$F$244/1000</f>
        <v>0</v>
      </c>
      <c r="I155" s="242">
        <f>BDFE!$F$315/1000</f>
        <v>0</v>
      </c>
      <c r="J155" s="242">
        <f>BDFE!$F$386/1000</f>
        <v>0</v>
      </c>
      <c r="K155" s="242">
        <f>SUM(E155,F155,G155,H155,I155,J155)</f>
        <v>-6454.78034</v>
      </c>
    </row>
    <row r="156" spans="1:14">
      <c r="D156" s="236" t="s">
        <v>271</v>
      </c>
      <c r="E156" s="242">
        <f>(BDFE!F32+BDFE!F33)/1000</f>
        <v>-1934.54894</v>
      </c>
      <c r="F156" s="242">
        <f>(BDFE!F103+BDFE!F104)/1000</f>
        <v>1870.41077</v>
      </c>
      <c r="G156" s="242">
        <f>(BDFE!F174+BDFE!F175)/1000</f>
        <v>5016.44821</v>
      </c>
      <c r="H156" s="242">
        <f>(BDFE!F245+BDFE!F246)/1000</f>
        <v>-336.65777</v>
      </c>
      <c r="I156" s="242">
        <f>(BDFE!F316+BDFE!F317)/1000</f>
        <v>-57.43095</v>
      </c>
      <c r="J156" s="242">
        <f>(BDFE!F387+BDFE!F388)/1000</f>
        <v>40.53378</v>
      </c>
      <c r="K156" s="242">
        <f>SUM(E156,F156,G156,H156,I156,J156)</f>
        <v>4598.7551</v>
      </c>
    </row>
    <row r="157" spans="1:14">
      <c r="D157" s="236" t="s">
        <v>272</v>
      </c>
      <c r="E157" s="242">
        <f>(BDFE!F34+BDFE!F35+BDFE!F36)/1000</f>
        <v>-1526.925</v>
      </c>
      <c r="F157" s="242">
        <f>(BDFE!F105+BDFE!F106+BDFE!F107)/1000</f>
        <v>-212.16531</v>
      </c>
      <c r="G157" s="242">
        <f>(BDFE!F176+BDFE!F177+BDFE!F178)/1000</f>
        <v>-1909.50115</v>
      </c>
      <c r="H157" s="242">
        <f>(BDFE!F247+BDFE!F248+BDFE!F249)/1000</f>
        <v>-1165.36118</v>
      </c>
      <c r="I157" s="242">
        <f>(BDFE!F318+BDFE!F319+BDFE!F320)/1000</f>
        <v>-6.59638</v>
      </c>
      <c r="J157" s="242">
        <f>(BDFE!F389+BDFE!F390+BDFE!F391)/1000</f>
        <v>16.32372</v>
      </c>
      <c r="K157" s="242">
        <f>SUM(E157,F157,G157,H157,I157,J157)</f>
        <v>-4804.2253</v>
      </c>
    </row>
    <row r="158" spans="1:14">
      <c r="D158" s="235" t="s">
        <v>265</v>
      </c>
      <c r="E158" s="239">
        <f>SUM(E151:E157)</f>
        <v>-9007.45854</v>
      </c>
      <c r="F158" s="239">
        <f>SUM(F151:F157)</f>
        <v>674.42431</v>
      </c>
      <c r="G158" s="239">
        <f>SUM(G151:G157)</f>
        <v>2271.68558</v>
      </c>
      <c r="H158" s="239">
        <f>SUM(H151:H157)</f>
        <v>-59.73585</v>
      </c>
      <c r="I158" s="239">
        <f>SUM(I151:I157)</f>
        <v>69.25292</v>
      </c>
      <c r="J158" s="239">
        <f>SUM(J151:J157)</f>
        <v>-9.52922</v>
      </c>
      <c r="K158" s="239">
        <f>SUM(K151:K157)</f>
        <v>-6061.3608</v>
      </c>
    </row>
    <row r="159" spans="1:14">
      <c r="D159" s="236"/>
      <c r="E159" s="243"/>
      <c r="F159" s="243"/>
      <c r="G159" s="243"/>
      <c r="H159" s="243"/>
      <c r="I159" s="243"/>
      <c r="J159" s="243"/>
      <c r="K159" s="243"/>
    </row>
    <row r="160" spans="1:14">
      <c r="D160" s="235" t="s">
        <v>273</v>
      </c>
      <c r="E160" s="240"/>
      <c r="F160" s="240"/>
      <c r="G160" s="240"/>
      <c r="H160" s="240"/>
      <c r="I160" s="240"/>
      <c r="J160" s="240"/>
      <c r="K160" s="240"/>
    </row>
    <row r="161" spans="1:14">
      <c r="D161" s="236" t="s">
        <v>274</v>
      </c>
      <c r="E161" s="241">
        <f>BDFE!$F$39/1000</f>
        <v>3748.95778</v>
      </c>
      <c r="F161" s="241">
        <f>BDFE!$F$110/1000</f>
        <v>0</v>
      </c>
      <c r="G161" s="241">
        <f>BDFE!$F$181/1000</f>
        <v>-107.66146</v>
      </c>
      <c r="H161" s="241">
        <f>BDFE!$F$252/1000</f>
        <v>0</v>
      </c>
      <c r="I161" s="241">
        <f>BDFE!$F$323/1000</f>
        <v>0</v>
      </c>
      <c r="J161" s="241">
        <f>BDFE!$F$394/1000</f>
        <v>0</v>
      </c>
      <c r="K161" s="241">
        <f>SUM(E161,F161,G161,H161,I161,J161)</f>
        <v>3641.29632</v>
      </c>
    </row>
    <row r="162" spans="1:14">
      <c r="D162" s="236" t="s">
        <v>275</v>
      </c>
      <c r="E162" s="242">
        <f>BDFE!$F$40/1000</f>
        <v>-0.00024</v>
      </c>
      <c r="F162" s="242">
        <f>BDFE!$F$111/1000</f>
        <v>0</v>
      </c>
      <c r="G162" s="242">
        <f>BDFE!$F$182/1000</f>
        <v>0</v>
      </c>
      <c r="H162" s="242">
        <f>BDFE!$F$253/1000</f>
        <v>0</v>
      </c>
      <c r="I162" s="242">
        <f>BDFE!$F$324/1000</f>
        <v>0</v>
      </c>
      <c r="J162" s="242">
        <f>BDFE!$F$395/1000</f>
        <v>0</v>
      </c>
      <c r="K162" s="242">
        <f>SUM(E162,F162,G162,H162,I162,J162)</f>
        <v>-0.00024</v>
      </c>
    </row>
    <row r="163" spans="1:14">
      <c r="D163" s="236" t="s">
        <v>276</v>
      </c>
      <c r="E163" s="242">
        <f>BDFE!$F$41/1000</f>
        <v>0</v>
      </c>
      <c r="F163" s="242">
        <f>BDFE!$F$112/1000</f>
        <v>0</v>
      </c>
      <c r="G163" s="242">
        <f>BDFE!$F$183/1000</f>
        <v>0</v>
      </c>
      <c r="H163" s="242">
        <f>BDFE!$F$254/1000</f>
        <v>0</v>
      </c>
      <c r="I163" s="242">
        <f>BDFE!$F$325/1000</f>
        <v>0</v>
      </c>
      <c r="J163" s="242">
        <f>BDFE!$F$396/1000</f>
        <v>0</v>
      </c>
      <c r="K163" s="242">
        <f>SUM(E163,F163,G163,H163,I163,J163)</f>
        <v>0</v>
      </c>
    </row>
    <row r="164" spans="1:14">
      <c r="D164" s="236" t="s">
        <v>277</v>
      </c>
      <c r="E164" s="242">
        <f>BDFE!$F$42/1000</f>
        <v>0</v>
      </c>
      <c r="F164" s="242">
        <f>BDFE!$F$113/1000</f>
        <v>0</v>
      </c>
      <c r="G164" s="242">
        <f>BDFE!$F$184/1000</f>
        <v>0</v>
      </c>
      <c r="H164" s="242">
        <f>BDFE!$F$255/1000</f>
        <v>0</v>
      </c>
      <c r="I164" s="242">
        <f>BDFE!$F$326/1000</f>
        <v>0</v>
      </c>
      <c r="J164" s="242">
        <f>BDFE!$F$397/1000</f>
        <v>0</v>
      </c>
      <c r="K164" s="242">
        <f>SUM(E164,F164,G164,H164,I164,J164)</f>
        <v>0</v>
      </c>
    </row>
    <row r="165" spans="1:14">
      <c r="D165" s="236" t="s">
        <v>278</v>
      </c>
      <c r="E165" s="242">
        <f>(BDFE!F43+BDFE!F44)/1000</f>
        <v>0</v>
      </c>
      <c r="F165" s="242">
        <f>(BDFE!F114+BDFE!F115)/1000</f>
        <v>0</v>
      </c>
      <c r="G165" s="242">
        <f>(BDFE!F185+BDFE!F186)/1000</f>
        <v>0</v>
      </c>
      <c r="H165" s="242">
        <f>(BDFE!F256+BDFE!F257)/1000</f>
        <v>0</v>
      </c>
      <c r="I165" s="242">
        <f>(BDFE!F327+BDFE!F328)/1000</f>
        <v>0</v>
      </c>
      <c r="J165" s="242">
        <f>(BDFE!F398+BDFE!F399)/1000</f>
        <v>0</v>
      </c>
      <c r="K165" s="242">
        <f>SUM(E165,F165,G165,H165,I165,J165)</f>
        <v>0</v>
      </c>
    </row>
    <row r="166" spans="1:14">
      <c r="D166" s="236" t="s">
        <v>279</v>
      </c>
      <c r="E166" s="242">
        <f>BDFE!$F$45/1000</f>
        <v>0</v>
      </c>
      <c r="F166" s="242">
        <f>BDFE!$F$116/1000</f>
        <v>0</v>
      </c>
      <c r="G166" s="242">
        <f>BDFE!$F$187/1000</f>
        <v>0</v>
      </c>
      <c r="H166" s="242">
        <f>BDFE!$F$258/1000</f>
        <v>0</v>
      </c>
      <c r="I166" s="245">
        <f>BDFE!$F$328/1000</f>
        <v>0</v>
      </c>
      <c r="J166" s="245">
        <f>BDFE!$F$399/1000</f>
        <v>0</v>
      </c>
      <c r="K166" s="242">
        <f>SUM(E166,F166,G166,H166,I166,J166)</f>
        <v>0</v>
      </c>
    </row>
    <row r="167" spans="1:14">
      <c r="D167" s="235" t="s">
        <v>280</v>
      </c>
      <c r="E167" s="239">
        <f>SUM(E161:E166)</f>
        <v>3748.95754</v>
      </c>
      <c r="F167" s="239">
        <f>SUM(F161:F166)</f>
        <v>0</v>
      </c>
      <c r="G167" s="239">
        <f>SUM(G161:G166)</f>
        <v>-107.66146</v>
      </c>
      <c r="H167" s="239">
        <f>SUM(H161:H166)</f>
        <v>0</v>
      </c>
      <c r="I167" s="239">
        <f>SUM(I161:I166)</f>
        <v>0</v>
      </c>
      <c r="J167" s="239">
        <f>SUM(J161:J166)</f>
        <v>0</v>
      </c>
      <c r="K167" s="239">
        <f>SUM(K161:K166)</f>
        <v>3641.29608</v>
      </c>
    </row>
    <row r="168" spans="1:14">
      <c r="D168" s="235"/>
      <c r="E168" s="244"/>
      <c r="F168" s="244"/>
      <c r="G168" s="244"/>
      <c r="H168" s="244"/>
      <c r="I168" s="244"/>
      <c r="J168" s="244"/>
      <c r="K168" s="244"/>
    </row>
    <row r="169" spans="1:14">
      <c r="D169" s="235" t="s">
        <v>281</v>
      </c>
      <c r="E169" s="252"/>
      <c r="F169" s="252"/>
      <c r="G169" s="252"/>
      <c r="H169" s="252"/>
      <c r="I169" s="252"/>
      <c r="J169" s="252"/>
      <c r="K169" s="252"/>
    </row>
    <row r="170" spans="1:14">
      <c r="D170" s="236" t="s">
        <v>282</v>
      </c>
      <c r="E170" s="241">
        <f>BDFE!$F$48/1000</f>
        <v>0</v>
      </c>
      <c r="F170" s="241">
        <f>BDFE!$F$119/1000</f>
        <v>0</v>
      </c>
      <c r="G170" s="241">
        <f>BDFE!$F$190/1000</f>
        <v>0</v>
      </c>
      <c r="H170" s="241">
        <f>BDFE!$F$261/1000</f>
        <v>0</v>
      </c>
      <c r="I170" s="241">
        <f>BDFE!$F$332/1000</f>
        <v>0</v>
      </c>
      <c r="J170" s="241">
        <f>BDFE!$F$403/1000</f>
        <v>0</v>
      </c>
      <c r="K170" s="242">
        <f>SUM(E170,F170,G170,H170,I170,J170)</f>
        <v>0</v>
      </c>
    </row>
    <row r="171" spans="1:14">
      <c r="D171" s="236" t="s">
        <v>283</v>
      </c>
      <c r="E171" s="242">
        <f>BDFE!$F$50/1000</f>
        <v>-12.68</v>
      </c>
      <c r="F171" s="242">
        <f>BDFE!$F$121/1000</f>
        <v>0</v>
      </c>
      <c r="G171" s="242">
        <f>BDFE!$F$192/1000</f>
        <v>0</v>
      </c>
      <c r="H171" s="242">
        <f>BDFE!$F$263/1000</f>
        <v>-12.90463</v>
      </c>
      <c r="I171" s="242">
        <f>BDFE!$F$334/1000</f>
        <v>0</v>
      </c>
      <c r="J171" s="242">
        <f>BDFE!$F$405/1000</f>
        <v>0</v>
      </c>
      <c r="K171" s="242">
        <f>SUM(E171,F171,G171,H171,I171,J171)</f>
        <v>-25.58463</v>
      </c>
    </row>
    <row r="172" spans="1:14">
      <c r="D172" s="236" t="s">
        <v>284</v>
      </c>
      <c r="E172" s="242">
        <f>BDFE!$F$52/1000</f>
        <v>-85.96551</v>
      </c>
      <c r="F172" s="242">
        <f>BDFE!$F$123/1000</f>
        <v>0</v>
      </c>
      <c r="G172" s="242">
        <f>BDFE!$F$194/1000</f>
        <v>0</v>
      </c>
      <c r="H172" s="242">
        <f>BDFE!$F$265/1000</f>
        <v>0</v>
      </c>
      <c r="I172" s="242">
        <f>BDFE!$F$336/1000</f>
        <v>0</v>
      </c>
      <c r="J172" s="242">
        <f>BDFE!$F$407/1000</f>
        <v>0</v>
      </c>
      <c r="K172" s="242">
        <f>SUM(E172,F172,G172,H172,I172,J172)</f>
        <v>-85.96551</v>
      </c>
    </row>
    <row r="173" spans="1:14">
      <c r="D173" s="236" t="s">
        <v>285</v>
      </c>
      <c r="E173" s="242">
        <f>BDFE!$F$54/1000</f>
        <v>0</v>
      </c>
      <c r="F173" s="242">
        <f>BDFE!$F$125/1000</f>
        <v>0</v>
      </c>
      <c r="G173" s="242">
        <f>BDFE!$F$196/1000</f>
        <v>0</v>
      </c>
      <c r="H173" s="242">
        <f>BDFE!$F$267/1000</f>
        <v>0</v>
      </c>
      <c r="I173" s="242">
        <f>BDFE!$F$338/1000</f>
        <v>0</v>
      </c>
      <c r="J173" s="242">
        <f>BDFE!$F$409/1000</f>
        <v>0</v>
      </c>
      <c r="K173" s="242">
        <f>SUM(E173,F173,G173,H173,I173,J173)</f>
        <v>0</v>
      </c>
    </row>
    <row r="174" spans="1:14">
      <c r="D174" s="236" t="s">
        <v>286</v>
      </c>
      <c r="E174" s="242">
        <f>BDFE!$F$56/1000</f>
        <v>0</v>
      </c>
      <c r="F174" s="242">
        <f>BDFE!$F$127/1000</f>
        <v>0</v>
      </c>
      <c r="G174" s="242">
        <f>BDFE!$F$198/1000</f>
        <v>0</v>
      </c>
      <c r="H174" s="242">
        <f>BDFE!$F$269/1000</f>
        <v>0</v>
      </c>
      <c r="I174" s="242">
        <f>BDFE!$F$340/1000</f>
        <v>0</v>
      </c>
      <c r="J174" s="242">
        <f>BDFE!$F$411/1000</f>
        <v>0</v>
      </c>
      <c r="K174" s="242">
        <f>SUM(E174,F174,G174,H174,I174,J174)</f>
        <v>0</v>
      </c>
    </row>
    <row r="175" spans="1:14">
      <c r="D175" s="236" t="s">
        <v>287</v>
      </c>
      <c r="E175" s="242">
        <f>BDFE!$F$58/1000</f>
        <v>0</v>
      </c>
      <c r="F175" s="242">
        <f>BDFE!$F$129/1000</f>
        <v>0</v>
      </c>
      <c r="G175" s="242">
        <f>BDFE!$F$200/1000</f>
        <v>0</v>
      </c>
      <c r="H175" s="242">
        <f>BDFE!$F$271/1000</f>
        <v>0</v>
      </c>
      <c r="I175" s="242">
        <f>BDFE!$F$342/1000</f>
        <v>0</v>
      </c>
      <c r="J175" s="242">
        <f>BDFE!$F$413/1000</f>
        <v>0</v>
      </c>
      <c r="K175" s="242">
        <f>SUM(E175,F175,G175,H175,I175,J175)</f>
        <v>0</v>
      </c>
    </row>
    <row r="176" spans="1:14">
      <c r="D176" s="236" t="s">
        <v>288</v>
      </c>
      <c r="E176" s="242">
        <f>BDFE!$F$60/1000</f>
        <v>0</v>
      </c>
      <c r="F176" s="242">
        <f>BDFE!$F$131/1000</f>
        <v>0</v>
      </c>
      <c r="G176" s="242">
        <f>BDFE!$F$202/1000</f>
        <v>0</v>
      </c>
      <c r="H176" s="242">
        <f>BDFE!$F$273/1000</f>
        <v>0</v>
      </c>
      <c r="I176" s="242">
        <f>BDFE!$F$344/1000</f>
        <v>0</v>
      </c>
      <c r="J176" s="242">
        <f>BDFE!$F$415/1000</f>
        <v>0</v>
      </c>
      <c r="K176" s="242">
        <f>SUM(E176,F176,G176,H176,I176,J176)</f>
        <v>0</v>
      </c>
    </row>
    <row r="177" spans="1:14">
      <c r="D177" s="236" t="s">
        <v>289</v>
      </c>
      <c r="E177" s="242">
        <f>BDFE!$F$62/1000</f>
        <v>20.95786</v>
      </c>
      <c r="F177" s="242">
        <f>BDFE!$F$133/1000</f>
        <v>0</v>
      </c>
      <c r="G177" s="242">
        <f>BDFE!$F$204/1000</f>
        <v>5.31349</v>
      </c>
      <c r="H177" s="242">
        <f>BDFE!$F$275/1000</f>
        <v>0</v>
      </c>
      <c r="I177" s="242">
        <f>BDFE!$F$346/1000</f>
        <v>0</v>
      </c>
      <c r="J177" s="242">
        <f>BDFE!$F$417/1000</f>
        <v>0</v>
      </c>
      <c r="K177" s="242">
        <f>SUM(E177,F177,G177,H177,I177,J177)</f>
        <v>26.27135</v>
      </c>
    </row>
    <row r="178" spans="1:14">
      <c r="D178" s="236" t="s">
        <v>290</v>
      </c>
      <c r="E178" s="242">
        <f>BDFE!$F$64/1000</f>
        <v>0</v>
      </c>
      <c r="F178" s="242">
        <f>BDFE!$F$135/1000</f>
        <v>0</v>
      </c>
      <c r="G178" s="242">
        <f>BDFE!$F$206/1000</f>
        <v>0</v>
      </c>
      <c r="H178" s="242">
        <f>BDFE!$F$277/1000</f>
        <v>0</v>
      </c>
      <c r="I178" s="242">
        <f>BDFE!$F$348/1000</f>
        <v>0</v>
      </c>
      <c r="J178" s="242">
        <f>BDFE!$F$419/1000</f>
        <v>0</v>
      </c>
      <c r="K178" s="242">
        <f>SUM(E178,F178,G178,H178,I178,J178)</f>
        <v>0</v>
      </c>
    </row>
    <row r="179" spans="1:14">
      <c r="D179" s="236" t="s">
        <v>291</v>
      </c>
      <c r="E179" s="242">
        <f>BDFE!$F$66/1000</f>
        <v>0</v>
      </c>
      <c r="F179" s="242">
        <f>BDFE!$F$137/1000</f>
        <v>0</v>
      </c>
      <c r="G179" s="242">
        <f>BDFE!$F$208/1000</f>
        <v>-570.53612</v>
      </c>
      <c r="H179" s="242">
        <f>BDFE!$F$279/1000</f>
        <v>0</v>
      </c>
      <c r="I179" s="242">
        <f>BDFE!$F$350/1000</f>
        <v>0</v>
      </c>
      <c r="J179" s="242">
        <f>BDFE!$F$421/1000</f>
        <v>0</v>
      </c>
      <c r="K179" s="242">
        <f>SUM(E179,F179,G179,H179,I179,J179)</f>
        <v>-570.53612</v>
      </c>
    </row>
    <row r="180" spans="1:14" hidden="true">
      <c r="D180" s="236" t="s">
        <v>292</v>
      </c>
      <c r="E180" s="242">
        <f>BDFE!$F$68/1000</f>
        <v>0</v>
      </c>
      <c r="F180" s="242">
        <f>BDFE!$F$139/1000</f>
        <v>0</v>
      </c>
      <c r="G180" s="242">
        <f>BDFE!$F$210/1000</f>
        <v>0</v>
      </c>
      <c r="H180" s="242">
        <f>BDFE!$F$281/1000</f>
        <v>0</v>
      </c>
      <c r="I180" s="242">
        <f>BDFE!$F$352/1000</f>
        <v>0</v>
      </c>
      <c r="J180" s="242">
        <f>BDFE!$F$423/1000</f>
        <v>0</v>
      </c>
      <c r="K180" s="242">
        <f>SUM(E180,F180,G180,H180,I180,J180)</f>
        <v>0</v>
      </c>
    </row>
    <row r="181" spans="1:14" hidden="true">
      <c r="D181" s="236" t="s">
        <v>293</v>
      </c>
      <c r="E181" s="242">
        <f>BDFE!$F$69/1000</f>
        <v>0</v>
      </c>
      <c r="F181" s="242">
        <f>BDFE!$F$140/1000</f>
        <v>0</v>
      </c>
      <c r="G181" s="242">
        <f>BDFE!$F$211/1000</f>
        <v>0</v>
      </c>
      <c r="H181" s="242">
        <f>BDFE!$F$282/1000</f>
        <v>0</v>
      </c>
      <c r="I181" s="242">
        <f>BDFE!$F$353/1000</f>
        <v>0</v>
      </c>
      <c r="J181" s="242">
        <f>BDFE!$F$424/1000</f>
        <v>0</v>
      </c>
      <c r="K181" s="242">
        <f>SUM(E181,F181,G181,H181,I181,J181)</f>
        <v>0</v>
      </c>
    </row>
    <row r="182" spans="1:14">
      <c r="D182" s="236" t="s">
        <v>31</v>
      </c>
      <c r="E182" s="245">
        <f>(BDFE!F49+BDFE!F51+BDFE!F53+BDFE!F55+BDFE!F57+BDFE!F59+BDFE!F61+BDFE!F63+BDFE!F65+BDFE!F67-BDFE!F11)/1000</f>
        <v>-1.1641532182693E-13</v>
      </c>
      <c r="F182" s="245">
        <f>(BDFE!F120+BDFE!F122+BDFE!F124+BDFE!F126+BDFE!F128+BDFE!F130+BDFE!F132+BDFE!F134+BDFE!F136+BDFE!F138-BDFE!F82)/1000</f>
        <v>0</v>
      </c>
      <c r="G182" s="245">
        <f>(BDFE!F191+BDFE!F193+BDFE!F195+BDFE!F197+BDFE!F199+BDFE!F201+BDFE!F203+BDFE!F205+BDFE!F207+BDFE!F209-BDFE!F153)/1000</f>
        <v>0</v>
      </c>
      <c r="H182" s="245">
        <f>(BDFE!F262+BDFE!F264+BDFE!F266+BDFE!F268+BDFE!F270+BDFE!F272+BDFE!F274+BDFE!F276+BDFE!F278+BDFE!F280-BDFE!F224)/1000</f>
        <v>0</v>
      </c>
      <c r="I182" s="245">
        <f>(BDFE!F333+BDFE!F335+BDFE!F337+BDFE!F339+BDFE!F341+BDFE!F343+BDFE!F345+BDFE!F347+BDFE!F349+BDFE!F351-BDFE!F295)/1000</f>
        <v>0</v>
      </c>
      <c r="J182" s="245">
        <f>(BDFE!F404+BDFE!F406+BDFE!F408+BDFE!F410+BDFE!F412+BDFE!F414+BDFE!F416+BDFE!F418+BDFE!F420+BDFE!F422-BDFE!F366)/1000</f>
        <v>0</v>
      </c>
      <c r="K182" s="245">
        <f>SUM(E182,F182,G182,H182,I182,J182)</f>
        <v>-1.1641532182693E-13</v>
      </c>
    </row>
    <row r="183" spans="1:14">
      <c r="D183" s="235" t="s">
        <v>294</v>
      </c>
      <c r="E183" s="239">
        <f>SUM(E170:E182)</f>
        <v>-77.68765</v>
      </c>
      <c r="F183" s="239">
        <f>SUM(F170:F182)</f>
        <v>0</v>
      </c>
      <c r="G183" s="239">
        <f>SUM(G170:G182)</f>
        <v>-565.22263</v>
      </c>
      <c r="H183" s="239">
        <f>SUM(H170:H182)</f>
        <v>-12.90463</v>
      </c>
      <c r="I183" s="239">
        <f>SUM(I170:I182)</f>
        <v>0</v>
      </c>
      <c r="J183" s="239">
        <f>SUM(J170:J182)</f>
        <v>0</v>
      </c>
      <c r="K183" s="239">
        <f>SUM(K170:K182)</f>
        <v>-655.81491</v>
      </c>
    </row>
    <row r="184" spans="1:14">
      <c r="D184" s="236"/>
      <c r="E184" s="246"/>
      <c r="F184" s="246"/>
      <c r="G184" s="246"/>
      <c r="H184" s="246"/>
      <c r="I184" s="246"/>
      <c r="J184" s="246"/>
      <c r="K184" s="246"/>
    </row>
    <row r="185" spans="1:14">
      <c r="D185" s="235" t="s">
        <v>295</v>
      </c>
      <c r="E185" s="247">
        <f>E148+E158+E167+E183</f>
        <v>-2156.44362</v>
      </c>
      <c r="F185" s="247">
        <f>F148+F158+F167+F183</f>
        <v>1803.74165</v>
      </c>
      <c r="G185" s="247">
        <f>G148+G158+G167+G183</f>
        <v>1994.47665</v>
      </c>
      <c r="H185" s="247">
        <f>H148+H158+H167+H183</f>
        <v>143.61235</v>
      </c>
      <c r="I185" s="239">
        <f>I148+I158+I167+I183</f>
        <v>24.85163</v>
      </c>
      <c r="J185" s="239">
        <f>J148+J158+J167+J183</f>
        <v>54.11615</v>
      </c>
      <c r="K185" s="239">
        <f>K148+K158+K167+K183</f>
        <v>1864.35481</v>
      </c>
    </row>
    <row r="186" spans="1:14">
      <c r="D186" s="237" t="s">
        <v>296</v>
      </c>
      <c r="E186" s="247">
        <f>(BDBG!I3+BDBG!I4)/1000</f>
        <v>13236.64363</v>
      </c>
      <c r="F186" s="247">
        <f>(BDBG!I57+BDBG!I58)/1000</f>
        <v>2976.31267</v>
      </c>
      <c r="G186" s="247">
        <f>(BDBG!I111+BDBG!I112)/1000</f>
        <v>617.87617</v>
      </c>
      <c r="H186" s="247">
        <f>(BDBG!I165+BDBG!I166)/1000</f>
        <v>256.13818</v>
      </c>
      <c r="I186" s="239">
        <f>(BDBG!I219+BDBG!I220)/1000</f>
        <v>261.57617</v>
      </c>
      <c r="J186" s="239">
        <f>(BDBG!I273+BDBG!I274)/1000</f>
        <v>67.60589</v>
      </c>
      <c r="K186" s="239">
        <f>SUM(E186,F186,G186,H186,I186,J186)</f>
        <v>17416.15271</v>
      </c>
    </row>
    <row r="187" spans="1:14">
      <c r="D187" s="237" t="s">
        <v>297</v>
      </c>
      <c r="E187" s="247">
        <f>SUM(E185:E186)</f>
        <v>11080.20001</v>
      </c>
      <c r="F187" s="247">
        <f>SUM(F185:F186)</f>
        <v>4780.05432</v>
      </c>
      <c r="G187" s="247">
        <f>SUM(G185:G186)</f>
        <v>2612.35282</v>
      </c>
      <c r="H187" s="247">
        <f>SUM(H185:H186)</f>
        <v>399.75053</v>
      </c>
      <c r="I187" s="247">
        <f>SUM(I185:I186)</f>
        <v>286.4278</v>
      </c>
      <c r="J187" s="247">
        <f>SUM(J185:J186)</f>
        <v>121.72204</v>
      </c>
      <c r="K187" s="247">
        <f>SUM(K185:K186)</f>
        <v>19280.50752</v>
      </c>
    </row>
    <row r="193" spans="1:14">
      <c r="C193" t="s">
        <v>305</v>
      </c>
      <c r="E193">
        <v>804</v>
      </c>
      <c r="F193">
        <v>805</v>
      </c>
      <c r="G193">
        <v>811</v>
      </c>
      <c r="H193">
        <v>813</v>
      </c>
      <c r="N193">
        <v>803</v>
      </c>
    </row>
    <row r="194" spans="1:14">
      <c r="D194" s="235" t="s">
        <v>262</v>
      </c>
      <c r="E194" s="235" t="s">
        <v>155</v>
      </c>
      <c r="F194" s="236"/>
      <c r="G194" s="236"/>
      <c r="H194" s="236"/>
      <c r="N194" s="235"/>
    </row>
    <row r="195" spans="1:14">
      <c r="D195" s="236"/>
      <c r="E195" s="238" t="s">
        <v>94</v>
      </c>
      <c r="F195" s="238" t="s">
        <v>95</v>
      </c>
      <c r="G195" s="238" t="s">
        <v>96</v>
      </c>
      <c r="H195" s="238" t="s">
        <v>97</v>
      </c>
      <c r="I195" s="238" t="s">
        <v>72</v>
      </c>
      <c r="N195" s="238" t="s">
        <v>122</v>
      </c>
    </row>
    <row r="196" spans="1:14">
      <c r="D196" s="235" t="s">
        <v>264</v>
      </c>
      <c r="E196" s="239">
        <f>(BDFE!C1296+BDFE!C1285)/1000</f>
        <v>16.67208</v>
      </c>
      <c r="F196" s="239">
        <f>(BDFE!C1369+BDFE!C1358)/1000</f>
        <v>29.19392</v>
      </c>
      <c r="G196" s="239">
        <f>(BDFE!C1588+BDFE!C1577)/1000</f>
        <v>39.60151</v>
      </c>
      <c r="H196" s="239">
        <f>(BDFE!C1734+BDFE!C1723)/1000</f>
        <v>32.3771</v>
      </c>
      <c r="I196" s="239">
        <f>SUM(N196,E196,F196,G196,H196)</f>
        <v>117.84461</v>
      </c>
      <c r="N196" s="293"/>
    </row>
    <row r="197" spans="1:14">
      <c r="D197" s="236"/>
      <c r="E197" s="240"/>
      <c r="F197" s="240"/>
      <c r="G197" s="240"/>
      <c r="H197" s="240"/>
      <c r="I197" s="240"/>
      <c r="N197" s="240"/>
    </row>
    <row r="198" spans="1:14">
      <c r="D198" s="235" t="s">
        <v>265</v>
      </c>
      <c r="E198" s="240"/>
      <c r="F198" s="240"/>
      <c r="G198" s="240"/>
      <c r="H198" s="240"/>
      <c r="I198" s="240"/>
      <c r="N198" s="240"/>
    </row>
    <row r="199" spans="1:14">
      <c r="D199" s="236" t="s">
        <v>266</v>
      </c>
      <c r="E199" s="241">
        <f>BDFE!$C$1299/1000</f>
        <v>-14.75084</v>
      </c>
      <c r="F199" s="241">
        <f>BDFE!$C$1372/1000</f>
        <v>3.38632</v>
      </c>
      <c r="G199" s="241">
        <f>BDFE!$C$1591/1000</f>
        <v>-26.54012</v>
      </c>
      <c r="H199" s="241">
        <f>BDFE!$C$1737/1000</f>
        <v>-19.70608</v>
      </c>
      <c r="I199" s="241">
        <f>SUM(N199,E199,F199,G199,H199)</f>
        <v>-57.61072</v>
      </c>
      <c r="N199" s="294"/>
    </row>
    <row r="200" spans="1:14">
      <c r="D200" s="236" t="s">
        <v>267</v>
      </c>
      <c r="E200" s="242">
        <f>(BDFE!C1300+BDFE!C1301)/1000</f>
        <v>0</v>
      </c>
      <c r="F200" s="242">
        <f>(BDFE!C1373+BDFE!C1374)/1000</f>
        <v>0</v>
      </c>
      <c r="G200" s="242">
        <f>(BDFE!C1592+BDFE!C1593)/1000</f>
        <v>0</v>
      </c>
      <c r="H200" s="242">
        <f>(BDFE!C1738+BDFE!C1739)/1000</f>
        <v>-310.40455</v>
      </c>
      <c r="I200" s="242">
        <f>SUM(N200,E200,F200,G200,H200)</f>
        <v>-310.40455</v>
      </c>
      <c r="N200" s="264"/>
    </row>
    <row r="201" spans="1:14">
      <c r="D201" s="236" t="s">
        <v>268</v>
      </c>
      <c r="E201" s="242">
        <f>BDFE!$C$1302/1000</f>
        <v>2.05696</v>
      </c>
      <c r="F201" s="242">
        <f>BDFE!$C$1375/1000</f>
        <v>3.57684</v>
      </c>
      <c r="G201" s="242">
        <f>BDFE!$C$1594/1000</f>
        <v>-2.77417</v>
      </c>
      <c r="H201" s="242">
        <f>BDFE!$C$1740/1000</f>
        <v>2.65837</v>
      </c>
      <c r="I201" s="242">
        <f>SUM(N201,E201,F201,G201,H201)</f>
        <v>5.518</v>
      </c>
      <c r="N201" s="264"/>
    </row>
    <row r="202" spans="1:14">
      <c r="D202" s="236" t="s">
        <v>269</v>
      </c>
      <c r="E202" s="242">
        <f>BDFE!$C$1304/1000</f>
        <v>-9.34457</v>
      </c>
      <c r="F202" s="242">
        <f>BDFE!$C$1377/1000</f>
        <v>-12.09404</v>
      </c>
      <c r="G202" s="242">
        <f>BDFE!$C$1596/1000</f>
        <v>1.22711</v>
      </c>
      <c r="H202" s="242">
        <f>BDFE!$C$1742/1000</f>
        <v>0.69912</v>
      </c>
      <c r="I202" s="242">
        <f>SUM(N202,E202,F202,G202,H202)</f>
        <v>-19.51238</v>
      </c>
      <c r="N202" s="264"/>
    </row>
    <row r="203" spans="1:14">
      <c r="D203" s="236" t="s">
        <v>270</v>
      </c>
      <c r="E203" s="242">
        <f>BDFE!$C$1305/1000</f>
        <v>27.59013</v>
      </c>
      <c r="F203" s="242">
        <f>BDFE!$C$1378/1000</f>
        <v>-16.70791</v>
      </c>
      <c r="G203" s="242">
        <f>BDFE!$C$1597/1000</f>
        <v>5.3502</v>
      </c>
      <c r="H203" s="242">
        <f>BDFE!$C$1743/1000</f>
        <v>3.40824</v>
      </c>
      <c r="I203" s="242">
        <f>SUM(N203,E203,F203,G203,H203)</f>
        <v>19.64066</v>
      </c>
      <c r="N203" s="264"/>
    </row>
    <row r="204" spans="1:14">
      <c r="D204" s="236" t="s">
        <v>271</v>
      </c>
      <c r="E204" s="242">
        <f>(BDFE!C1306+BDFE!C1307+BDFE!C1309)/1000</f>
        <v>-230</v>
      </c>
      <c r="F204" s="242">
        <f>(BDFE!C1379+BDFE!C1380+BDFE!C1382)/1000</f>
        <v>-506</v>
      </c>
      <c r="G204" s="242">
        <f>(BDFE!C1598+BDFE!C1599+BDFE!C1601)/1000</f>
        <v>-194.4109</v>
      </c>
      <c r="H204" s="242">
        <f>(BDFE!C1744+BDFE!C1745+BDFE!C1747)/1000</f>
        <v>0.4858</v>
      </c>
      <c r="I204" s="242">
        <f>SUM(N204,E204,F204,G204,H204)</f>
        <v>-929.9251</v>
      </c>
      <c r="N204" s="264"/>
    </row>
    <row r="205" spans="1:14">
      <c r="D205" s="236" t="s">
        <v>272</v>
      </c>
      <c r="E205" s="242">
        <f>(BDFE!C1308+BDFE!C1310)/1000</f>
        <v>-79.00992</v>
      </c>
      <c r="F205" s="242">
        <f>(BDFE!C1381+BDFE!C1383)/1000</f>
        <v>41.9308</v>
      </c>
      <c r="G205" s="242">
        <f>(BDFE!C1600+BDFE!C1602)/1000</f>
        <v>7.24144</v>
      </c>
      <c r="H205" s="242">
        <f>(BDFE!C1746+BDFE!C1748)/1000</f>
        <v>6.91865</v>
      </c>
      <c r="I205" s="242">
        <f>SUM(N205,E205,F205,G205,H205)</f>
        <v>-22.91903</v>
      </c>
      <c r="N205" s="264"/>
    </row>
    <row r="206" spans="1:14">
      <c r="D206" s="235" t="s">
        <v>265</v>
      </c>
      <c r="E206" s="239">
        <f>SUM(E199:E205)</f>
        <v>-303.45824</v>
      </c>
      <c r="F206" s="239">
        <f>SUM(F199:F205)</f>
        <v>-485.90799</v>
      </c>
      <c r="G206" s="239">
        <f>SUM(G199:G205)</f>
        <v>-209.90644</v>
      </c>
      <c r="H206" s="239">
        <f>SUM(H199:H205)</f>
        <v>-315.94045</v>
      </c>
      <c r="I206" s="239">
        <f>SUM(N206,E206,F206,G206,H206)</f>
        <v>-1315.21312</v>
      </c>
      <c r="N206" s="292"/>
    </row>
    <row r="207" spans="1:14">
      <c r="D207" s="236"/>
      <c r="E207" s="243"/>
      <c r="F207" s="243"/>
      <c r="G207" s="243"/>
      <c r="H207" s="243"/>
      <c r="I207" s="243"/>
      <c r="N207" s="243"/>
    </row>
    <row r="208" spans="1:14">
      <c r="D208" s="235" t="s">
        <v>273</v>
      </c>
      <c r="E208" s="240"/>
      <c r="F208" s="240"/>
      <c r="G208" s="240"/>
      <c r="H208" s="240"/>
      <c r="I208" s="240"/>
      <c r="N208" s="240"/>
    </row>
    <row r="209" spans="1:14">
      <c r="D209" s="236" t="s">
        <v>274</v>
      </c>
      <c r="E209" s="241">
        <f>BDFE!$C$1313/1000</f>
        <v>0</v>
      </c>
      <c r="F209" s="241">
        <f>BDFE!$C$1386/1000</f>
        <v>0</v>
      </c>
      <c r="G209" s="241">
        <f>BDFE!$C$1605/1000</f>
        <v>0</v>
      </c>
      <c r="H209" s="241">
        <f>BDFE!$C$1751/1000</f>
        <v>0</v>
      </c>
      <c r="I209" s="241">
        <f>SUM(N209,E209,F209,G209,H209)</f>
        <v>0</v>
      </c>
      <c r="N209" s="294"/>
    </row>
    <row r="210" spans="1:14">
      <c r="D210" s="236" t="s">
        <v>275</v>
      </c>
      <c r="E210" s="242">
        <f>BDFE!$C$1314/1000</f>
        <v>0</v>
      </c>
      <c r="F210" s="242">
        <f>BDFE!$C$1387/1000</f>
        <v>0</v>
      </c>
      <c r="G210" s="242">
        <f>BDFE!$C$1606/1000</f>
        <v>0</v>
      </c>
      <c r="H210" s="242">
        <f>BDFE!$C$1752/1000</f>
        <v>0</v>
      </c>
      <c r="I210" s="242">
        <f>SUM(N210,E210,F210,G210,H210)</f>
        <v>0</v>
      </c>
      <c r="N210" s="264"/>
    </row>
    <row r="211" spans="1:14">
      <c r="D211" s="236" t="s">
        <v>276</v>
      </c>
      <c r="E211" s="242">
        <f>BDFE!$C$1315/1000</f>
        <v>0</v>
      </c>
      <c r="F211" s="242">
        <f>BDFE!$C$1388/1000</f>
        <v>0</v>
      </c>
      <c r="G211" s="242">
        <f>BDFE!$C$1607/1000</f>
        <v>0</v>
      </c>
      <c r="H211" s="242">
        <f>BDFE!$C$1753/1000</f>
        <v>0</v>
      </c>
      <c r="I211" s="242">
        <f>SUM(N211,E211,F211,G211,H211)</f>
        <v>0</v>
      </c>
      <c r="N211" s="264"/>
    </row>
    <row r="212" spans="1:14" hidden="true">
      <c r="D212" s="236" t="s">
        <v>277</v>
      </c>
      <c r="E212" s="242">
        <f>BDFE!$C$1316/1000</f>
        <v>0</v>
      </c>
      <c r="F212" s="242">
        <f>BDFE!$C$1389/1000</f>
        <v>0</v>
      </c>
      <c r="G212" s="242">
        <f>BDFE!$C$1608/1000</f>
        <v>0</v>
      </c>
      <c r="H212" s="242">
        <f>BDFE!$C$1754/1000</f>
        <v>0</v>
      </c>
      <c r="I212" s="242">
        <f>SUM(N212,E212,F212,G212,H212)</f>
        <v>0</v>
      </c>
      <c r="N212" s="264"/>
    </row>
    <row r="213" spans="1:14" hidden="true">
      <c r="D213" s="236" t="s">
        <v>278</v>
      </c>
      <c r="E213" s="242">
        <f>(BDFE!C1317+BDFE!C1318)/1000</f>
        <v>0</v>
      </c>
      <c r="F213" s="242">
        <f>(BDFE!$C$1390+BDFE!C1391)/1000</f>
        <v>0</v>
      </c>
      <c r="G213" s="242">
        <f>(BDFE!C1609+BDFE!C1610)/1000</f>
        <v>0</v>
      </c>
      <c r="H213" s="242">
        <f>(BDFE!C1755+BDFE!C1756)/1000</f>
        <v>0</v>
      </c>
      <c r="I213" s="242">
        <f>SUM(N213,E213,F213,G213,H213)</f>
        <v>0</v>
      </c>
      <c r="N213" s="264"/>
    </row>
    <row r="214" spans="1:14">
      <c r="D214" s="236" t="s">
        <v>279</v>
      </c>
      <c r="E214" s="242">
        <f>BDFE!$C$1319/1000</f>
        <v>0</v>
      </c>
      <c r="F214" s="242">
        <f>BDFE!$C$1392/1000</f>
        <v>0</v>
      </c>
      <c r="G214" s="242">
        <f>BDFE!$C$1611/1000</f>
        <v>0</v>
      </c>
      <c r="H214" s="245">
        <f>BDFE!$C$1757/1000</f>
        <v>0</v>
      </c>
      <c r="I214" s="245">
        <f>SUM(N214,E214,F214,G214,H214)</f>
        <v>0</v>
      </c>
      <c r="N214" s="264"/>
    </row>
    <row r="215" spans="1:14">
      <c r="D215" s="235" t="s">
        <v>280</v>
      </c>
      <c r="E215" s="239">
        <f>SUM(E209:E214)</f>
        <v>0</v>
      </c>
      <c r="F215" s="239">
        <f>SUM(F209:F214)</f>
        <v>0</v>
      </c>
      <c r="G215" s="239">
        <f>SUM(G209:G214)</f>
        <v>0</v>
      </c>
      <c r="H215" s="239">
        <f>SUM(H209:H214)</f>
        <v>0</v>
      </c>
      <c r="I215" s="239">
        <f>SUM(N215,E215,F215,G215,H215)</f>
        <v>0</v>
      </c>
      <c r="N215" s="292"/>
    </row>
    <row r="216" spans="1:14">
      <c r="D216" s="235"/>
      <c r="E216" s="244"/>
      <c r="F216" s="244"/>
      <c r="G216" s="244"/>
      <c r="H216" s="243"/>
      <c r="I216" s="243"/>
      <c r="N216" s="243"/>
    </row>
    <row r="217" spans="1:14">
      <c r="D217" s="235" t="s">
        <v>281</v>
      </c>
      <c r="E217" s="240"/>
      <c r="F217" s="240"/>
      <c r="G217" s="240"/>
      <c r="H217" s="240"/>
      <c r="I217" s="240"/>
      <c r="N217" s="240"/>
    </row>
    <row r="218" spans="1:14">
      <c r="D218" s="236" t="s">
        <v>282</v>
      </c>
      <c r="E218" s="241">
        <f>BDFE!$C$1322/1000</f>
        <v>0</v>
      </c>
      <c r="F218" s="241">
        <f>BDFE!$C$1395/1000</f>
        <v>0</v>
      </c>
      <c r="G218" s="241">
        <f>BDFE!$C$1614/1000</f>
        <v>0</v>
      </c>
      <c r="H218" s="241">
        <f>BDFE!$C$1760/1000</f>
        <v>0</v>
      </c>
      <c r="I218" s="241">
        <f>SUM(N218,E218,F218,G218,H218)</f>
        <v>0</v>
      </c>
      <c r="N218" s="294"/>
    </row>
    <row r="219" spans="1:14">
      <c r="D219" s="236" t="s">
        <v>283</v>
      </c>
      <c r="E219" s="242">
        <f>BDFE!$C$1324/1000</f>
        <v>0</v>
      </c>
      <c r="F219" s="242">
        <f>BDFE!$C$1397/1000</f>
        <v>0</v>
      </c>
      <c r="G219" s="242">
        <f>BDFE!$C$1616/1000</f>
        <v>0</v>
      </c>
      <c r="H219" s="242">
        <f>BDFE!$C$1762/1000</f>
        <v>-9.10746</v>
      </c>
      <c r="I219" s="242">
        <f>SUM(N219,E219,F219,G219,H219)</f>
        <v>-9.10746</v>
      </c>
      <c r="N219" s="264"/>
    </row>
    <row r="220" spans="1:14">
      <c r="D220" s="236" t="s">
        <v>284</v>
      </c>
      <c r="E220" s="242">
        <f>BDFE!$C$1326/1000</f>
        <v>0</v>
      </c>
      <c r="F220" s="242">
        <f>BDFE!$C$1399/1000</f>
        <v>0</v>
      </c>
      <c r="G220" s="242">
        <f>BDFE!$C$1618/1000</f>
        <v>0</v>
      </c>
      <c r="H220" s="242">
        <f>BDFE!$C$1764/1000</f>
        <v>0</v>
      </c>
      <c r="I220" s="242">
        <f>SUM(N220,E220,F220,G220,H220)</f>
        <v>0</v>
      </c>
      <c r="N220" s="264"/>
    </row>
    <row r="221" spans="1:14">
      <c r="D221" s="236" t="s">
        <v>285</v>
      </c>
      <c r="E221" s="242">
        <f>BDFE!$C$1328/1000</f>
        <v>0</v>
      </c>
      <c r="F221" s="242">
        <f>BDFE!$C$1401/1000</f>
        <v>0</v>
      </c>
      <c r="G221" s="242">
        <f>BDFE!$C$1620/1000</f>
        <v>0</v>
      </c>
      <c r="H221" s="242">
        <f>BDFE!$C$1766/1000</f>
        <v>0</v>
      </c>
      <c r="I221" s="242">
        <f>SUM(N221,E221,F221,G221,H221)</f>
        <v>0</v>
      </c>
      <c r="N221" s="264"/>
    </row>
    <row r="222" spans="1:14">
      <c r="D222" s="236" t="s">
        <v>286</v>
      </c>
      <c r="E222" s="242">
        <f>BDFE!$C$1330/1000</f>
        <v>0</v>
      </c>
      <c r="F222" s="242">
        <f>BDFE!$C$1403/1000</f>
        <v>0</v>
      </c>
      <c r="G222" s="242">
        <f>BDFE!$C$1622/1000</f>
        <v>0</v>
      </c>
      <c r="H222" s="242">
        <f>BDFE!$C$1768/1000</f>
        <v>0</v>
      </c>
      <c r="I222" s="242">
        <f>SUM(N222,E222,F222,G222,H222)</f>
        <v>0</v>
      </c>
      <c r="N222" s="264"/>
    </row>
    <row r="223" spans="1:14">
      <c r="D223" s="236" t="s">
        <v>287</v>
      </c>
      <c r="E223" s="242">
        <f>BDFE!$C$1332/1000</f>
        <v>0</v>
      </c>
      <c r="F223" s="242">
        <f>BDFE!$C$1405/1000</f>
        <v>0</v>
      </c>
      <c r="G223" s="242">
        <f>BDFE!$C$1624/1000</f>
        <v>0</v>
      </c>
      <c r="H223" s="242">
        <f>BDFE!$C$1770/1000</f>
        <v>0</v>
      </c>
      <c r="I223" s="242">
        <f>SUM(N223,E223,F223,G223,H223)</f>
        <v>0</v>
      </c>
      <c r="N223" s="264"/>
    </row>
    <row r="224" spans="1:14">
      <c r="D224" s="236" t="s">
        <v>288</v>
      </c>
      <c r="E224" s="242">
        <f>BDFE!$C$1334/1000</f>
        <v>0</v>
      </c>
      <c r="F224" s="242">
        <f>BDFE!$C$1407/1000</f>
        <v>0</v>
      </c>
      <c r="G224" s="242">
        <f>BDFE!$C$1626/1000</f>
        <v>0</v>
      </c>
      <c r="H224" s="242">
        <f>BDFE!$C$1772/1000</f>
        <v>0</v>
      </c>
      <c r="I224" s="242">
        <f>SUM(N224,E224,F224,G224,H224)</f>
        <v>0</v>
      </c>
      <c r="N224" s="264"/>
    </row>
    <row r="225" spans="1:14">
      <c r="D225" s="236" t="s">
        <v>289</v>
      </c>
      <c r="E225" s="242">
        <f>BDFE!$C$1336/1000</f>
        <v>0</v>
      </c>
      <c r="F225" s="242">
        <f>BDFE!$C$1409/1000</f>
        <v>0</v>
      </c>
      <c r="G225" s="242">
        <f>BDFE!$C$1628/1000</f>
        <v>-0.5</v>
      </c>
      <c r="H225" s="242">
        <f>BDFE!$C$1774/1000</f>
        <v>0</v>
      </c>
      <c r="I225" s="242">
        <f>SUM(N225,E225,F225,G225,H225)</f>
        <v>-0.5</v>
      </c>
      <c r="N225" s="264"/>
    </row>
    <row r="226" spans="1:14">
      <c r="D226" s="236" t="s">
        <v>290</v>
      </c>
      <c r="E226" s="242">
        <f>BDFE!$C$1338/1000</f>
        <v>0</v>
      </c>
      <c r="F226" s="242">
        <f>BDFE!$C$1411/1000</f>
        <v>0</v>
      </c>
      <c r="G226" s="242">
        <f>BDFE!$C$1630/1000</f>
        <v>0</v>
      </c>
      <c r="H226" s="242">
        <f>BDFE!$C$1776/1000</f>
        <v>0</v>
      </c>
      <c r="I226" s="242">
        <f>SUM(N226,E226,F226,G226,H226)</f>
        <v>0</v>
      </c>
      <c r="N226" s="264"/>
    </row>
    <row r="227" spans="1:14">
      <c r="D227" s="236" t="s">
        <v>291</v>
      </c>
      <c r="E227" s="242">
        <f>BDFE!$C$1340/1000</f>
        <v>0</v>
      </c>
      <c r="F227" s="242">
        <f>BDFE!$C$1413/1000</f>
        <v>-34.902</v>
      </c>
      <c r="G227" s="242">
        <f>BDFE!$C$1632/1000</f>
        <v>-0.58064</v>
      </c>
      <c r="H227" s="242">
        <f>BDFE!$C$1778/1000</f>
        <v>0</v>
      </c>
      <c r="I227" s="242">
        <f>SUM(N227,E227,F227,G227,H227)</f>
        <v>-35.48264</v>
      </c>
      <c r="N227" s="264"/>
    </row>
    <row r="228" spans="1:14" hidden="true">
      <c r="D228" s="236" t="s">
        <v>292</v>
      </c>
      <c r="E228" s="242">
        <f>BDFE!$C$1343/1000</f>
        <v>0</v>
      </c>
      <c r="F228" s="242">
        <f>BDFE!$C$1416/1000</f>
        <v>0</v>
      </c>
      <c r="G228" s="242">
        <f>BDFE!$C$1635/1000</f>
        <v>0</v>
      </c>
      <c r="H228" s="242">
        <f>BDFE!$C$1781/1000</f>
        <v>0</v>
      </c>
      <c r="I228" s="242">
        <f>SUM(N228,E228,F228,G228,H228)</f>
        <v>0</v>
      </c>
      <c r="N228" s="264"/>
    </row>
    <row r="229" spans="1:14" hidden="true">
      <c r="D229" s="236" t="s">
        <v>293</v>
      </c>
      <c r="E229" s="242">
        <f>BDFE!$C$1344/1000</f>
        <v>0</v>
      </c>
      <c r="F229" s="242">
        <f>BDFE!$C$1417/1000</f>
        <v>0</v>
      </c>
      <c r="G229" s="242">
        <f>BDFE!$C$1636/1000</f>
        <v>0</v>
      </c>
      <c r="H229" s="242">
        <f>BDFE!$C$1782/1000</f>
        <v>0</v>
      </c>
      <c r="I229" s="242">
        <f>SUM(N229,E229,F229,G229,H229)</f>
        <v>0</v>
      </c>
      <c r="N229" s="264"/>
    </row>
    <row r="230" spans="1:14">
      <c r="D230" s="236" t="s">
        <v>31</v>
      </c>
      <c r="E230" s="245">
        <f>(BDFE!C1323+BDFE!C1325+BDFE!C1327+BDFE!C1329+BDFE!C1331+BDFE!C1333+BDFE!C1335+BDFE!C1337+BDFE!C1339+BDFE!C1341+BDFE!C1342-BDFE!C1285)/1000</f>
        <v>0</v>
      </c>
      <c r="F230" s="245">
        <f>(BDFE!C1396+BDFE!C1398+BDFE!C1400+BDFE!C1402+BDFE!C1404+BDFE!C1406+BDFE!C1408+BDFE!C1410+BDFE!C1412+BDFE!C1414+BDFE!C1415-BDFE!C1358)/1000</f>
        <v>0</v>
      </c>
      <c r="G230" s="245">
        <f>(BDFE!C1615+BDFE!C1617+BDFE!C1619+BDFE!C1621+BDFE!C1623+BDFE!C1625+BDFE!C1627+BDFE!C1629+BDFE!C1631+BDFE!C1633+BDFE!C1634-BDFE!C1577)/1000</f>
        <v>0</v>
      </c>
      <c r="H230" s="245">
        <f>(BDFE!C1761+BDFE!C1763+BDFE!C1765+BDFE!C1767+BDFE!C1769+BDFE!C1771+BDFE!C1773+BDFE!C1775+BDFE!C1777+BDFE!C1779+BDFE!C1780-BDFE!C1723)/1000</f>
        <v>0</v>
      </c>
      <c r="I230" s="245">
        <f>SUM(N230,E230,F230,G230,H230)</f>
        <v>0</v>
      </c>
      <c r="N230" s="264"/>
    </row>
    <row r="231" spans="1:14">
      <c r="D231" s="235" t="s">
        <v>294</v>
      </c>
      <c r="E231" s="239">
        <f>SUM(E218:E230)</f>
        <v>0</v>
      </c>
      <c r="F231" s="239">
        <f>SUM(F218:F230)</f>
        <v>-34.902</v>
      </c>
      <c r="G231" s="239">
        <f>SUM(G218:G230)</f>
        <v>-1.08064</v>
      </c>
      <c r="H231" s="239">
        <f>SUM(H218:H230)</f>
        <v>-9.10746</v>
      </c>
      <c r="I231" s="239">
        <f>SUM(N231,E231,F231,G231,H231)</f>
        <v>-45.0901</v>
      </c>
      <c r="N231" s="292"/>
    </row>
    <row r="232" spans="1:14">
      <c r="D232" s="236"/>
      <c r="E232" s="246"/>
      <c r="F232" s="246"/>
      <c r="G232" s="246"/>
      <c r="H232" s="249"/>
      <c r="I232" s="249"/>
      <c r="N232" s="240"/>
    </row>
    <row r="233" spans="1:14">
      <c r="D233" s="235" t="s">
        <v>295</v>
      </c>
      <c r="E233" s="247">
        <f>E196+E206+E215+E231</f>
        <v>-286.78616</v>
      </c>
      <c r="F233" s="247">
        <f>F196+F206+F215+F231</f>
        <v>-491.61607</v>
      </c>
      <c r="G233" s="247">
        <f>G196+G206+G215+G231</f>
        <v>-171.38557</v>
      </c>
      <c r="H233" s="239">
        <f>H196+H206+H215+H231</f>
        <v>-292.67081</v>
      </c>
      <c r="I233" s="239">
        <f>I196+I206+I215+I231</f>
        <v>-1242.45861</v>
      </c>
      <c r="N233" s="291"/>
    </row>
    <row r="234" spans="1:14">
      <c r="D234" s="237" t="s">
        <v>296</v>
      </c>
      <c r="E234" s="247">
        <f>BDBG!$H$1138/1000</f>
        <v>293.6843</v>
      </c>
      <c r="F234" s="247">
        <f>BDBG!$H$1192/1000</f>
        <v>788.3126</v>
      </c>
      <c r="G234" s="247">
        <f>BDBG!$H$1354/1000</f>
        <v>317.99107</v>
      </c>
      <c r="H234" s="239">
        <f>BDBG!$H$1462/1000</f>
        <v>362.06971</v>
      </c>
      <c r="I234" s="239">
        <f>SUM(N234,E234,F234,G234,H234)</f>
        <v>1762.05768</v>
      </c>
      <c r="N234" s="263"/>
    </row>
    <row r="235" spans="1:14">
      <c r="D235" s="237" t="s">
        <v>297</v>
      </c>
      <c r="E235" s="247">
        <f>SUM(E233:E234)</f>
        <v>6.89814</v>
      </c>
      <c r="F235" s="247">
        <f>SUM(F233:F234)</f>
        <v>296.69653</v>
      </c>
      <c r="G235" s="247">
        <f>SUM(G233:G234)</f>
        <v>146.6055</v>
      </c>
      <c r="H235" s="247">
        <f>SUM(H233:H234)</f>
        <v>69.3989</v>
      </c>
      <c r="I235" s="247">
        <f>SUM(I233:I234)</f>
        <v>519.59907</v>
      </c>
      <c r="N235" s="292"/>
    </row>
    <row r="237" spans="1:14">
      <c r="I237" s="253"/>
      <c r="J237" s="253"/>
    </row>
    <row r="242" spans="1:14">
      <c r="D242" s="250"/>
      <c r="E242" s="235"/>
      <c r="F242" s="235" t="s">
        <v>299</v>
      </c>
      <c r="G242" s="236"/>
      <c r="H242" s="236"/>
      <c r="I242" s="236"/>
      <c r="J242" s="236"/>
    </row>
    <row r="243" spans="1:14">
      <c r="D243" s="251" t="s">
        <v>300</v>
      </c>
      <c r="E243" s="238" t="s">
        <v>94</v>
      </c>
      <c r="F243" s="238" t="s">
        <v>95</v>
      </c>
      <c r="G243" s="238" t="s">
        <v>96</v>
      </c>
      <c r="H243" s="238" t="s">
        <v>97</v>
      </c>
      <c r="I243" s="238" t="s">
        <v>72</v>
      </c>
    </row>
    <row r="244" spans="1:14">
      <c r="D244" s="235" t="s">
        <v>264</v>
      </c>
      <c r="E244" s="239">
        <f>(BDFE!F1296+BDFE!F1285)/1000</f>
        <v>16.67208</v>
      </c>
      <c r="F244" s="239">
        <f>(BDFE!F1369+BDFE!F1358)/1000</f>
        <v>29.19392</v>
      </c>
      <c r="G244" s="239">
        <f>(BDFE!F1588+BDFE!F1577)/1000</f>
        <v>39.60151</v>
      </c>
      <c r="H244" s="239">
        <f>(BDFE!F1734+BDFE!F1723)/1000</f>
        <v>32.3771</v>
      </c>
      <c r="I244" s="239">
        <f>SUM(E244,F244,G244,H244)</f>
        <v>117.84461</v>
      </c>
    </row>
    <row r="245" spans="1:14">
      <c r="D245" s="236"/>
      <c r="E245" s="240"/>
      <c r="F245" s="240"/>
      <c r="G245" s="240"/>
      <c r="H245" s="240"/>
      <c r="I245" s="240"/>
    </row>
    <row r="246" spans="1:14">
      <c r="D246" s="235" t="s">
        <v>265</v>
      </c>
      <c r="E246" s="240"/>
      <c r="F246" s="240"/>
      <c r="G246" s="240"/>
      <c r="H246" s="240"/>
      <c r="I246" s="240"/>
    </row>
    <row r="247" spans="1:14">
      <c r="D247" s="236" t="s">
        <v>266</v>
      </c>
      <c r="E247" s="241">
        <f>BDFE!$F$1299/1000</f>
        <v>-14.75084</v>
      </c>
      <c r="F247" s="241">
        <f>BDFE!$F$1372/1000</f>
        <v>3.38632</v>
      </c>
      <c r="G247" s="241">
        <f>BDFE!$F$1591/1000</f>
        <v>-26.54012</v>
      </c>
      <c r="H247" s="241">
        <f>BDFE!$F$1737/1000</f>
        <v>-19.70608</v>
      </c>
      <c r="I247" s="241">
        <f>SUM(E247,F247,G247,H247)</f>
        <v>-57.61072</v>
      </c>
    </row>
    <row r="248" spans="1:14">
      <c r="D248" s="236" t="s">
        <v>267</v>
      </c>
      <c r="E248" s="242">
        <f>(BDFE!F1300+BDFE!F1301)/1000</f>
        <v>0</v>
      </c>
      <c r="F248" s="242">
        <f>(BDFE!F1373+BDFE!F1374)/1000</f>
        <v>0</v>
      </c>
      <c r="G248" s="242">
        <f>(BDFE!F1592+BDFE!F1593)/1000</f>
        <v>0</v>
      </c>
      <c r="H248" s="242">
        <f>(BDFE!F1738+BDFE!F1739)/1000</f>
        <v>-310.40455</v>
      </c>
      <c r="I248" s="242">
        <f>SUM(E248,F248,G248,H248)</f>
        <v>-310.40455</v>
      </c>
    </row>
    <row r="249" spans="1:14">
      <c r="D249" s="236" t="s">
        <v>268</v>
      </c>
      <c r="E249" s="242">
        <f>BDFE!$F$1302/1000</f>
        <v>2.05696</v>
      </c>
      <c r="F249" s="242">
        <f>BDFE!$F$1375/1000</f>
        <v>3.57684</v>
      </c>
      <c r="G249" s="242">
        <f>BDFE!$F$1594/1000</f>
        <v>-2.77417</v>
      </c>
      <c r="H249" s="242">
        <f>BDFE!$F$1740/1000</f>
        <v>2.65837</v>
      </c>
      <c r="I249" s="242">
        <f>SUM(E249,F249,G249,H249)</f>
        <v>5.518</v>
      </c>
    </row>
    <row r="250" spans="1:14">
      <c r="D250" s="236" t="s">
        <v>269</v>
      </c>
      <c r="E250" s="242">
        <f>BDFE!$F$1304/1000</f>
        <v>-9.34457</v>
      </c>
      <c r="F250" s="242">
        <f>BDFE!$F$1377/1000</f>
        <v>-12.09404</v>
      </c>
      <c r="G250" s="242">
        <f>BDFE!$F$1596/1000</f>
        <v>1.22711</v>
      </c>
      <c r="H250" s="242">
        <f>BDFE!$F$1742/1000</f>
        <v>0.69912</v>
      </c>
      <c r="I250" s="242">
        <f>SUM(E250,F250,G250,H250)</f>
        <v>-19.51238</v>
      </c>
    </row>
    <row r="251" spans="1:14">
      <c r="D251" s="236" t="s">
        <v>270</v>
      </c>
      <c r="E251" s="242">
        <f>BDFE!$F$1305/1000</f>
        <v>27.59013</v>
      </c>
      <c r="F251" s="242">
        <f>BDFE!$F$1378/1000</f>
        <v>-16.70791</v>
      </c>
      <c r="G251" s="242">
        <f>BDFE!$F$1597/1000</f>
        <v>5.3502</v>
      </c>
      <c r="H251" s="242">
        <f>BDFE!$F$1743/1000</f>
        <v>3.40824</v>
      </c>
      <c r="I251" s="242">
        <f>SUM(E251,F251,G251,H251)</f>
        <v>19.64066</v>
      </c>
    </row>
    <row r="252" spans="1:14">
      <c r="D252" s="236" t="s">
        <v>271</v>
      </c>
      <c r="E252" s="242">
        <f>(BDFE!F1306+BDFE!F1307+BDFE!F1309)/1000</f>
        <v>-230</v>
      </c>
      <c r="F252" s="242">
        <f>(BDFE!F1379+BDFE!F1380+BDFE!F1382)/1000</f>
        <v>-506</v>
      </c>
      <c r="G252" s="242">
        <f>(BDFE!F1598+BDFE!F1599+BDFE!F1601)/1000</f>
        <v>-194.4109</v>
      </c>
      <c r="H252" s="242">
        <f>(BDFE!F1744+BDFE!F1745+BDFE!F1747)/1000</f>
        <v>0.4858</v>
      </c>
      <c r="I252" s="242">
        <f>SUM(E252,F252,G252,H252)</f>
        <v>-929.9251</v>
      </c>
    </row>
    <row r="253" spans="1:14">
      <c r="D253" s="236" t="s">
        <v>272</v>
      </c>
      <c r="E253" s="242">
        <f>(BDFE!F1308+BDFE!F1310)/1000</f>
        <v>-79.00992</v>
      </c>
      <c r="F253" s="242">
        <f>(BDFE!F1381+BDFE!F1383)/1000</f>
        <v>41.9308</v>
      </c>
      <c r="G253" s="242">
        <f>(BDFE!F1600+BDFE!F1602)/1000</f>
        <v>7.24144</v>
      </c>
      <c r="H253" s="242">
        <f>(BDFE!F1746+BDFE!F1748)/1000</f>
        <v>6.91865</v>
      </c>
      <c r="I253" s="242">
        <f>SUM(E253,F253,G253,H253)</f>
        <v>-22.91903</v>
      </c>
    </row>
    <row r="254" spans="1:14">
      <c r="D254" s="235" t="s">
        <v>265</v>
      </c>
      <c r="E254" s="239">
        <f>SUM(E247:E253)</f>
        <v>-303.45824</v>
      </c>
      <c r="F254" s="239">
        <f>SUM(F247:F253)</f>
        <v>-485.90799</v>
      </c>
      <c r="G254" s="239">
        <f>SUM(G247:G253)</f>
        <v>-209.90644</v>
      </c>
      <c r="H254" s="239">
        <f>SUM(H247:H253)</f>
        <v>-315.94045</v>
      </c>
      <c r="I254" s="239">
        <f>SUM(E254,F254,G254,H254)</f>
        <v>-1315.21312</v>
      </c>
    </row>
    <row r="255" spans="1:14">
      <c r="D255" s="236"/>
      <c r="E255" s="243"/>
      <c r="F255" s="243"/>
      <c r="G255" s="243"/>
      <c r="H255" s="243"/>
      <c r="I255" s="243"/>
    </row>
    <row r="256" spans="1:14">
      <c r="D256" s="235" t="s">
        <v>273</v>
      </c>
      <c r="E256" s="240"/>
      <c r="F256" s="240"/>
      <c r="G256" s="240"/>
      <c r="H256" s="240"/>
      <c r="I256" s="240"/>
    </row>
    <row r="257" spans="1:14">
      <c r="D257" s="236" t="s">
        <v>274</v>
      </c>
      <c r="E257" s="241">
        <f>BDFE!$F$1313/1000</f>
        <v>0</v>
      </c>
      <c r="F257" s="241">
        <f>BDFE!$F$1386/1000</f>
        <v>0</v>
      </c>
      <c r="G257" s="241">
        <f>BDFE!$F$1605/1000</f>
        <v>0</v>
      </c>
      <c r="H257" s="241">
        <f>BDFE!$F$1751/1000</f>
        <v>0</v>
      </c>
      <c r="I257" s="241">
        <f>SUM(E257,F257,G257,H257)</f>
        <v>0</v>
      </c>
    </row>
    <row r="258" spans="1:14">
      <c r="D258" s="236" t="s">
        <v>275</v>
      </c>
      <c r="E258" s="242">
        <f>BDFE!$F$1314/1000</f>
        <v>0</v>
      </c>
      <c r="F258" s="242">
        <f>BDFE!$F$1387/1000</f>
        <v>0</v>
      </c>
      <c r="G258" s="242">
        <f>BDFE!$F$1606/1000</f>
        <v>0</v>
      </c>
      <c r="H258" s="242">
        <f>BDFE!$F$1752/1000</f>
        <v>0</v>
      </c>
      <c r="I258" s="242">
        <f>SUM(E258,F258,G258,H258)</f>
        <v>0</v>
      </c>
    </row>
    <row r="259" spans="1:14">
      <c r="D259" s="236" t="s">
        <v>276</v>
      </c>
      <c r="E259" s="242">
        <f>BDFE!$F$1315/1000</f>
        <v>0</v>
      </c>
      <c r="F259" s="242">
        <f>BDFE!$F$1388/1000</f>
        <v>0</v>
      </c>
      <c r="G259" s="242">
        <f>BDFE!$F$1607/1000</f>
        <v>0</v>
      </c>
      <c r="H259" s="242">
        <f>BDFE!$F$1753/1000</f>
        <v>0</v>
      </c>
      <c r="I259" s="242">
        <f>SUM(E259,F259,G259,H259)</f>
        <v>0</v>
      </c>
    </row>
    <row r="260" spans="1:14" hidden="true">
      <c r="D260" s="236" t="s">
        <v>277</v>
      </c>
      <c r="E260" s="242">
        <f>BDFE!$F$1316/1000</f>
        <v>0</v>
      </c>
      <c r="F260" s="242">
        <f>BDFE!$F$1389/1000</f>
        <v>0</v>
      </c>
      <c r="G260" s="242">
        <f>BDFE!$F$1608/1000</f>
        <v>0</v>
      </c>
      <c r="H260" s="242">
        <f>BDFE!$F$1754/1000</f>
        <v>0</v>
      </c>
      <c r="I260" s="242">
        <f>SUM(E260,F260,G260,H260)</f>
        <v>0</v>
      </c>
    </row>
    <row r="261" spans="1:14" hidden="true">
      <c r="D261" s="236" t="s">
        <v>278</v>
      </c>
      <c r="E261" s="242">
        <f>(BDFE!F1317+BDFE!F1318)/1000</f>
        <v>0</v>
      </c>
      <c r="F261" s="242">
        <f>(BDFE!$F$1390+BDFE!F1391)/1000</f>
        <v>0</v>
      </c>
      <c r="G261" s="242">
        <f>(BDFE!F1609+BDFE!F1610)/1000</f>
        <v>0</v>
      </c>
      <c r="H261" s="242">
        <f>(BDFE!F1755+BDFE!F1756)/1000</f>
        <v>0</v>
      </c>
      <c r="I261" s="242">
        <f>SUM(E261,F261,G261,H261)</f>
        <v>0</v>
      </c>
    </row>
    <row r="262" spans="1:14">
      <c r="D262" s="236" t="s">
        <v>279</v>
      </c>
      <c r="E262" s="242">
        <f>BDFE!$F$1319/1000</f>
        <v>0</v>
      </c>
      <c r="F262" s="242">
        <f>BDFE!$F$1392/1000</f>
        <v>0</v>
      </c>
      <c r="G262" s="242">
        <f>BDFE!$F$1611/1000</f>
        <v>0</v>
      </c>
      <c r="H262" s="245">
        <f>BDFE!$F$1757/1000</f>
        <v>0</v>
      </c>
      <c r="I262" s="242">
        <f>SUM(E262,F262,G262,H262)</f>
        <v>0</v>
      </c>
    </row>
    <row r="263" spans="1:14">
      <c r="D263" s="235" t="s">
        <v>280</v>
      </c>
      <c r="E263" s="239">
        <f>SUM(E257:E262)</f>
        <v>0</v>
      </c>
      <c r="F263" s="239">
        <f>SUM(F257:F262)</f>
        <v>0</v>
      </c>
      <c r="G263" s="239">
        <f>SUM(G257:G262)</f>
        <v>0</v>
      </c>
      <c r="H263" s="239">
        <f>SUM(H257:H262)</f>
        <v>0</v>
      </c>
      <c r="I263" s="239">
        <f>SUM(E263,F263,G263,H263)</f>
        <v>0</v>
      </c>
    </row>
    <row r="264" spans="1:14">
      <c r="D264" s="235"/>
      <c r="E264" s="244"/>
      <c r="F264" s="244"/>
      <c r="G264" s="244"/>
      <c r="H264" s="244"/>
      <c r="I264" s="244"/>
    </row>
    <row r="265" spans="1:14">
      <c r="D265" s="235" t="s">
        <v>281</v>
      </c>
      <c r="E265" s="252"/>
      <c r="F265" s="252"/>
      <c r="G265" s="252"/>
      <c r="H265" s="252"/>
      <c r="I265" s="252"/>
    </row>
    <row r="266" spans="1:14">
      <c r="D266" s="236" t="s">
        <v>282</v>
      </c>
      <c r="E266" s="241">
        <f>BDFE!$F$1322/1000</f>
        <v>0</v>
      </c>
      <c r="F266" s="241">
        <f>BDFE!$F$1395/1000</f>
        <v>0</v>
      </c>
      <c r="G266" s="241">
        <f>BDFE!$F$1614/1000</f>
        <v>0</v>
      </c>
      <c r="H266" s="241">
        <f>BDFE!$F$1760/1000</f>
        <v>0</v>
      </c>
      <c r="I266" s="242">
        <f>SUM(E266,F266,G266,H266)</f>
        <v>0</v>
      </c>
    </row>
    <row r="267" spans="1:14">
      <c r="D267" s="236" t="s">
        <v>283</v>
      </c>
      <c r="E267" s="242">
        <f>BDFE!$F$1324/1000</f>
        <v>0</v>
      </c>
      <c r="F267" s="242">
        <f>BDFE!$F$1397/1000</f>
        <v>0</v>
      </c>
      <c r="G267" s="242">
        <f>BDFE!$F$1616/1000</f>
        <v>0</v>
      </c>
      <c r="H267" s="242">
        <f>BDFE!$F$1762/1000</f>
        <v>-9.10746</v>
      </c>
      <c r="I267" s="242">
        <f>SUM(E267,F267,G267,H267)</f>
        <v>-9.10746</v>
      </c>
    </row>
    <row r="268" spans="1:14">
      <c r="D268" s="236" t="s">
        <v>284</v>
      </c>
      <c r="E268" s="242">
        <f>BDFE!$F$1326/1000</f>
        <v>0</v>
      </c>
      <c r="F268" s="242">
        <f>BDFE!$F$1399/1000</f>
        <v>0</v>
      </c>
      <c r="G268" s="242">
        <f>BDFE!$F$1618/1000</f>
        <v>0</v>
      </c>
      <c r="H268" s="242">
        <f>BDFE!$F$1764/1000</f>
        <v>0</v>
      </c>
      <c r="I268" s="242">
        <f>SUM(E268,F268,G268,H268)</f>
        <v>0</v>
      </c>
    </row>
    <row r="269" spans="1:14">
      <c r="D269" s="236" t="s">
        <v>285</v>
      </c>
      <c r="E269" s="242">
        <f>BDFE!$F$1328/1000</f>
        <v>0</v>
      </c>
      <c r="F269" s="242">
        <f>BDFE!$F$1401/1000</f>
        <v>0</v>
      </c>
      <c r="G269" s="242">
        <f>BDFE!$F$1620/1000</f>
        <v>0</v>
      </c>
      <c r="H269" s="242">
        <f>BDFE!$F$1766/1000</f>
        <v>0</v>
      </c>
      <c r="I269" s="242">
        <f>SUM(E269,F269,G269,H269)</f>
        <v>0</v>
      </c>
    </row>
    <row r="270" spans="1:14">
      <c r="D270" s="236" t="s">
        <v>286</v>
      </c>
      <c r="E270" s="242">
        <f>BDFE!$F$1330/1000</f>
        <v>0</v>
      </c>
      <c r="F270" s="242">
        <f>BDFE!$F$1403/1000</f>
        <v>0</v>
      </c>
      <c r="G270" s="242">
        <f>BDFE!$F$1622/1000</f>
        <v>0</v>
      </c>
      <c r="H270" s="242">
        <f>BDFE!$F$1768/1000</f>
        <v>0</v>
      </c>
      <c r="I270" s="242">
        <f>SUM(E270,F270,G270,H270)</f>
        <v>0</v>
      </c>
    </row>
    <row r="271" spans="1:14">
      <c r="D271" s="236" t="s">
        <v>287</v>
      </c>
      <c r="E271" s="242">
        <f>BDFE!$F$1332/1000</f>
        <v>0</v>
      </c>
      <c r="F271" s="242">
        <f>BDFE!$F$1405/1000</f>
        <v>0</v>
      </c>
      <c r="G271" s="242">
        <f>BDFE!$F$1624/1000</f>
        <v>0</v>
      </c>
      <c r="H271" s="242">
        <f>BDFE!$F$1770/1000</f>
        <v>0</v>
      </c>
      <c r="I271" s="242">
        <f>SUM(E271,F271,G271,H271)</f>
        <v>0</v>
      </c>
    </row>
    <row r="272" spans="1:14">
      <c r="D272" s="236" t="s">
        <v>288</v>
      </c>
      <c r="E272" s="242">
        <f>BDFE!$F$1334/1000</f>
        <v>0</v>
      </c>
      <c r="F272" s="242">
        <f>BDFE!$F$1407/1000</f>
        <v>0</v>
      </c>
      <c r="G272" s="242">
        <f>BDFE!$F$1626/1000</f>
        <v>0</v>
      </c>
      <c r="H272" s="242">
        <f>BDFE!$F$1772/1000</f>
        <v>0</v>
      </c>
      <c r="I272" s="242">
        <f>SUM(E272,F272,G272,H272)</f>
        <v>0</v>
      </c>
    </row>
    <row r="273" spans="1:14">
      <c r="D273" s="236" t="s">
        <v>289</v>
      </c>
      <c r="E273" s="242">
        <f>BDFE!$F$1336/1000</f>
        <v>0</v>
      </c>
      <c r="F273" s="242">
        <f>BDFE!$F$1409/1000</f>
        <v>0</v>
      </c>
      <c r="G273" s="242">
        <f>BDFE!$F$1628/1000</f>
        <v>-0.5</v>
      </c>
      <c r="H273" s="242">
        <f>BDFE!$F$1774/1000</f>
        <v>0</v>
      </c>
      <c r="I273" s="242">
        <f>SUM(E273,F273,G273,H273)</f>
        <v>-0.5</v>
      </c>
    </row>
    <row r="274" spans="1:14">
      <c r="D274" s="236" t="s">
        <v>290</v>
      </c>
      <c r="E274" s="242">
        <f>BDFE!$F$1338/1000</f>
        <v>0</v>
      </c>
      <c r="F274" s="242">
        <f>BDFE!$F$1411/1000</f>
        <v>0</v>
      </c>
      <c r="G274" s="242">
        <f>BDFE!$F$1630/1000</f>
        <v>0</v>
      </c>
      <c r="H274" s="242">
        <f>BDFE!$F$1776/1000</f>
        <v>0</v>
      </c>
      <c r="I274" s="242">
        <f>SUM(E274,F274,G274,H274)</f>
        <v>0</v>
      </c>
    </row>
    <row r="275" spans="1:14">
      <c r="D275" s="236" t="s">
        <v>291</v>
      </c>
      <c r="E275" s="242">
        <f>BDFE!$F$1340/1000</f>
        <v>0</v>
      </c>
      <c r="F275" s="242">
        <f>BDFE!$F$1413/1000</f>
        <v>-34.902</v>
      </c>
      <c r="G275" s="242">
        <f>BDFE!$F$1632/1000</f>
        <v>-0.58064</v>
      </c>
      <c r="H275" s="242">
        <f>BDFE!$F$1778/1000</f>
        <v>0</v>
      </c>
      <c r="I275" s="242">
        <f>SUM(E275,F275,G275,H275)</f>
        <v>-35.48264</v>
      </c>
    </row>
    <row r="276" spans="1:14" hidden="true">
      <c r="D276" s="236" t="s">
        <v>292</v>
      </c>
      <c r="E276" s="242">
        <f>BDFE!$F$1343/1000</f>
        <v>0</v>
      </c>
      <c r="F276" s="242">
        <f>BDFE!$F$1416/1000</f>
        <v>0</v>
      </c>
      <c r="G276" s="242">
        <f>BDFE!$F$1635/1000</f>
        <v>0</v>
      </c>
      <c r="H276" s="242">
        <f>BDFE!$F$1781/1000</f>
        <v>0</v>
      </c>
      <c r="I276" s="242">
        <f>SUM(E276,F276,G276,H276)</f>
        <v>0</v>
      </c>
    </row>
    <row r="277" spans="1:14" hidden="true">
      <c r="D277" s="236" t="s">
        <v>293</v>
      </c>
      <c r="E277" s="242">
        <f>BDFE!$F$1344/1000</f>
        <v>0</v>
      </c>
      <c r="F277" s="242">
        <f>BDFE!$F$1417/1000</f>
        <v>0</v>
      </c>
      <c r="G277" s="242">
        <f>BDFE!$F$1636/1000</f>
        <v>0</v>
      </c>
      <c r="H277" s="242">
        <f>BDFE!$F$1782/1000</f>
        <v>0</v>
      </c>
      <c r="I277" s="242">
        <f>SUM(E277,F277,G277,H277)</f>
        <v>0</v>
      </c>
    </row>
    <row r="278" spans="1:14">
      <c r="D278" s="236" t="s">
        <v>31</v>
      </c>
      <c r="E278" s="245">
        <f>(BDFE!F1323+BDFE!F1325+BDFE!F1327+BDFE!F1329+BDFE!F1331+BDFE!F1333+BDFE!F1335+BDFE!F1337+BDFE!F1339+BDFE!F1341+BDFE!F1342-BDFE!F1285)/1000</f>
        <v>0</v>
      </c>
      <c r="F278" s="245">
        <f>(BDFE!F1396+BDFE!F1398+BDFE!F1400+BDFE!F1402+BDFE!F1404+BDFE!F1406+BDFE!F1408+BDFE!F1410+BDFE!F1412+BDFE!F1414+BDFE!F1415-BDFE!F1358)/1000</f>
        <v>0</v>
      </c>
      <c r="G278" s="245">
        <f>(BDFE!F1615+BDFE!F1617+BDFE!F1619+BDFE!F1621+BDFE!F1623+BDFE!F1625+BDFE!F1627+BDFE!F1629+BDFE!F1631+BDFE!F1633+BDFE!F1634-BDFE!F1577)/1000</f>
        <v>0</v>
      </c>
      <c r="H278" s="245">
        <f>(BDFE!F1761+BDFE!F1763+BDFE!F1765+BDFE!F1767+BDFE!F1769+BDFE!F1771+BDFE!F1773+BDFE!F1775+BDFE!F1777+BDFE!F1779+BDFE!F1780-BDFE!F1723)/1000</f>
        <v>0</v>
      </c>
      <c r="I278" s="245">
        <f>SUM(E278,F278,G278,H278)</f>
        <v>0</v>
      </c>
    </row>
    <row r="279" spans="1:14">
      <c r="D279" s="235" t="s">
        <v>294</v>
      </c>
      <c r="E279" s="239">
        <f>SUM(E266:E278)</f>
        <v>0</v>
      </c>
      <c r="F279" s="239">
        <f>SUM(F266:F278)</f>
        <v>-34.902</v>
      </c>
      <c r="G279" s="239">
        <f>SUM(G266:G278)</f>
        <v>-1.08064</v>
      </c>
      <c r="H279" s="239">
        <f>SUM(H266:H278)</f>
        <v>-9.10746</v>
      </c>
      <c r="I279" s="239">
        <f>SUM(E279,F279,G279,H279)</f>
        <v>-45.0901</v>
      </c>
    </row>
    <row r="280" spans="1:14">
      <c r="D280" s="236"/>
      <c r="E280" s="246"/>
      <c r="F280" s="246"/>
      <c r="G280" s="246"/>
      <c r="H280" s="246"/>
      <c r="I280" s="246"/>
    </row>
    <row r="281" spans="1:14">
      <c r="D281" s="235" t="s">
        <v>295</v>
      </c>
      <c r="E281" s="247">
        <f>E244+E254+E263+E279</f>
        <v>-286.78616</v>
      </c>
      <c r="F281" s="247">
        <f>F244+F254+F263+F279</f>
        <v>-491.61607</v>
      </c>
      <c r="G281" s="247">
        <f>G244+G254+G263+G279</f>
        <v>-171.38557</v>
      </c>
      <c r="H281" s="239">
        <f>H244+H254+H263+H279</f>
        <v>-292.67081</v>
      </c>
      <c r="I281" s="239">
        <f>I244+I254+I263+I279</f>
        <v>-1242.45861</v>
      </c>
    </row>
    <row r="282" spans="1:14">
      <c r="D282" s="237" t="s">
        <v>296</v>
      </c>
      <c r="E282" s="247">
        <f>BDBG!$I$1138/1000</f>
        <v>293.6843</v>
      </c>
      <c r="F282" s="247">
        <f>BDBG!$I$1192/1000</f>
        <v>788.3126</v>
      </c>
      <c r="G282" s="247">
        <f>BDBG!$I$1354/1000</f>
        <v>317.99107</v>
      </c>
      <c r="H282" s="239">
        <f>BDBG!$I$1462/1000</f>
        <v>362.06971</v>
      </c>
      <c r="I282" s="239">
        <f>SUM(E282,F282,G282,H282)</f>
        <v>1762.05768</v>
      </c>
    </row>
    <row r="283" spans="1:14">
      <c r="D283" s="237" t="s">
        <v>297</v>
      </c>
      <c r="E283" s="247">
        <f>SUM(E281:E282)</f>
        <v>6.89814</v>
      </c>
      <c r="F283" s="247">
        <f>SUM(F281:F282)</f>
        <v>296.69653</v>
      </c>
      <c r="G283" s="247">
        <f>SUM(G281:G282)</f>
        <v>146.6055</v>
      </c>
      <c r="H283" s="247">
        <f>SUM(H281:H282)</f>
        <v>69.3989</v>
      </c>
      <c r="I283" s="247">
        <f>SUM(I281:I282)</f>
        <v>519.59907</v>
      </c>
    </row>
    <row r="289" spans="1:14">
      <c r="C289" t="s">
        <v>306</v>
      </c>
    </row>
    <row r="290" spans="1:14">
      <c r="E290">
        <v>816</v>
      </c>
      <c r="F290">
        <v>817</v>
      </c>
      <c r="G290">
        <v>812</v>
      </c>
      <c r="H290">
        <v>808</v>
      </c>
      <c r="I290">
        <v>807</v>
      </c>
    </row>
    <row r="291" spans="1:14">
      <c r="D291" s="235" t="s">
        <v>262</v>
      </c>
      <c r="E291" s="235" t="s">
        <v>155</v>
      </c>
      <c r="F291" s="236"/>
      <c r="G291" s="236"/>
      <c r="H291" s="236"/>
    </row>
    <row r="292" spans="1:14">
      <c r="D292" s="236"/>
      <c r="E292" s="238" t="s">
        <v>307</v>
      </c>
      <c r="F292" s="238" t="s">
        <v>308</v>
      </c>
      <c r="G292" s="238" t="s">
        <v>99</v>
      </c>
      <c r="H292" s="238" t="s">
        <v>309</v>
      </c>
      <c r="I292" s="238" t="s">
        <v>310</v>
      </c>
      <c r="J292" s="238" t="s">
        <v>72</v>
      </c>
    </row>
    <row r="293" spans="1:14">
      <c r="D293" s="235" t="s">
        <v>264</v>
      </c>
      <c r="E293" s="239">
        <f>(BDFE!C1807+BDFE!C1796)/1000</f>
        <v>17.10996</v>
      </c>
      <c r="F293" s="239">
        <f>(BDFE!C1880+BDFE!C1869)/1000</f>
        <v>2.2444</v>
      </c>
      <c r="G293" s="239">
        <f>(BDFE!C1661+BDFE!C1650)/1000</f>
        <v>17.94654</v>
      </c>
      <c r="H293" s="239">
        <f>(BDFE!C1515+BDFE!C1504)/1000</f>
        <v>3.7278</v>
      </c>
      <c r="I293" s="239">
        <f>(BDFE!C1442+BDFE!C1431)/1000</f>
        <v>28.56303</v>
      </c>
      <c r="J293" s="239">
        <f>SUM(E293,F293,G293,H293,I293)</f>
        <v>69.59173</v>
      </c>
    </row>
    <row r="294" spans="1:14">
      <c r="D294" s="236"/>
      <c r="E294" s="240"/>
      <c r="F294" s="240"/>
      <c r="G294" s="240"/>
      <c r="H294" s="240"/>
      <c r="I294" s="240"/>
      <c r="J294" s="240"/>
    </row>
    <row r="295" spans="1:14">
      <c r="D295" s="235" t="s">
        <v>265</v>
      </c>
      <c r="E295" s="240"/>
      <c r="F295" s="240"/>
      <c r="G295" s="240"/>
      <c r="H295" s="240"/>
      <c r="I295" s="240"/>
      <c r="J295" s="240"/>
    </row>
    <row r="296" spans="1:14">
      <c r="D296" s="236" t="s">
        <v>266</v>
      </c>
      <c r="E296" s="241">
        <f>BDFE!$C$1810/1000</f>
        <v>0</v>
      </c>
      <c r="F296" s="241">
        <f>BDFE!$C$1883/1000</f>
        <v>0</v>
      </c>
      <c r="G296" s="241">
        <f>BDFE!$C$1664/1000</f>
        <v>-325</v>
      </c>
      <c r="H296" s="241">
        <f>BDFE!$C$1518/1000</f>
        <v>0</v>
      </c>
      <c r="I296" s="241">
        <f>BDFE!$C$1445/1000</f>
        <v>0</v>
      </c>
      <c r="J296" s="241">
        <f>SUM(E296,F296,G296,H296,I296)</f>
        <v>-325</v>
      </c>
    </row>
    <row r="297" spans="1:14">
      <c r="D297" s="236" t="s">
        <v>267</v>
      </c>
      <c r="E297" s="242">
        <f>(BDFE!C1811+BDFE!C1812)/1000</f>
        <v>-431.375</v>
      </c>
      <c r="F297" s="242">
        <f>(BDFE!C1884+BDFE!C1885)/1000</f>
        <v>5</v>
      </c>
      <c r="G297" s="242">
        <f>(BDFE!C1665+BDFE!C1666)/1000</f>
        <v>-55</v>
      </c>
      <c r="H297" s="242">
        <f>(BDFE!C1519+BDFE!C1520)/1000</f>
        <v>0</v>
      </c>
      <c r="I297" s="242">
        <f>(BDFE!C1446+BDFE!C1447)/1000</f>
        <v>-165</v>
      </c>
      <c r="J297" s="242">
        <f>SUM(E297,F297,G297,H297,I297)</f>
        <v>-646.375</v>
      </c>
    </row>
    <row r="298" spans="1:14">
      <c r="D298" s="236" t="s">
        <v>268</v>
      </c>
      <c r="E298" s="242">
        <f>BDFE!$C$1813/1000</f>
        <v>0</v>
      </c>
      <c r="F298" s="242">
        <f>BDFE!$C$1886/1000</f>
        <v>0</v>
      </c>
      <c r="G298" s="242">
        <f>BDFE!$C$1667/1000</f>
        <v>0</v>
      </c>
      <c r="H298" s="242">
        <f>BDFE!$C$1521/1000</f>
        <v>0</v>
      </c>
      <c r="I298" s="242">
        <f>BDFE!$C$1448/1000</f>
        <v>0</v>
      </c>
      <c r="J298" s="242">
        <f>SUM(E298,F298,G298,H298,I298)</f>
        <v>0</v>
      </c>
    </row>
    <row r="299" spans="1:14">
      <c r="D299" s="236" t="s">
        <v>269</v>
      </c>
      <c r="E299" s="242">
        <f>BDFE!$C$1815/1000</f>
        <v>0.61111</v>
      </c>
      <c r="F299" s="242">
        <f>BDFE!$C$1888/1000</f>
        <v>0</v>
      </c>
      <c r="G299" s="242">
        <f>BDFE!$C$1669/1000</f>
        <v>0.61111</v>
      </c>
      <c r="H299" s="242">
        <f>BDFE!$C$1523/1000</f>
        <v>0</v>
      </c>
      <c r="I299" s="242">
        <f>BDFE!$C$1450/1000</f>
        <v>0</v>
      </c>
      <c r="J299" s="242">
        <f>SUM(E299,F299,G299,H299,I299)</f>
        <v>1.22222</v>
      </c>
    </row>
    <row r="300" spans="1:14">
      <c r="D300" s="236" t="s">
        <v>270</v>
      </c>
      <c r="E300" s="242">
        <f>BDFE!$C$1816/1000</f>
        <v>0</v>
      </c>
      <c r="F300" s="242">
        <f>BDFE!$C$1889/1000</f>
        <v>0</v>
      </c>
      <c r="G300" s="242">
        <f>BDFE!$C$1670/1000</f>
        <v>0</v>
      </c>
      <c r="H300" s="242">
        <f>BDFE!$C$1524/1000</f>
        <v>0</v>
      </c>
      <c r="I300" s="242">
        <f>BDFE!$C$1451/1000</f>
        <v>0</v>
      </c>
      <c r="J300" s="242">
        <f>SUM(E300,F300,G300,H300,I300)</f>
        <v>0</v>
      </c>
    </row>
    <row r="301" spans="1:14">
      <c r="D301" s="236" t="s">
        <v>271</v>
      </c>
      <c r="E301" s="242">
        <f>(BDFE!C1817+BDFE!C1818+BDFE!C1820)/1000</f>
        <v>0</v>
      </c>
      <c r="F301" s="242">
        <f>(BDFE!C1890+BDFE!C1891+BDFE!C1893)/1000</f>
        <v>0</v>
      </c>
      <c r="G301" s="242">
        <f>(BDFE!C1671+BDFE!C1672+BDFE!C1674)/1000</f>
        <v>0</v>
      </c>
      <c r="H301" s="242">
        <f>(BDFE!C1525+BDFE!C1526+BDFE!C1528)/1000</f>
        <v>0</v>
      </c>
      <c r="I301" s="242">
        <f>(BDFE!C1452+BDFE!C1453+BDFE!C1455)/1000</f>
        <v>-183.67312</v>
      </c>
      <c r="J301" s="242">
        <f>SUM(E301,F301,G301,H301,I301)</f>
        <v>-183.67312</v>
      </c>
    </row>
    <row r="302" spans="1:14">
      <c r="D302" s="236" t="s">
        <v>272</v>
      </c>
      <c r="E302" s="242">
        <f>(BDFE!C1819+BDFE!C1821)/1000</f>
        <v>-19.08722</v>
      </c>
      <c r="F302" s="242">
        <f>(BDFE!C1892+BDFE!C1894)/1000</f>
        <v>0</v>
      </c>
      <c r="G302" s="242">
        <f>(BDFE!C1673+BDFE!C1675)/1000</f>
        <v>0</v>
      </c>
      <c r="H302" s="242">
        <f>(BDFE!C1527+BDFE!C1529)/1000</f>
        <v>0</v>
      </c>
      <c r="I302" s="242">
        <f>(BDFE!C1454+BDFE!C1456)/1000</f>
        <v>0</v>
      </c>
      <c r="J302" s="242">
        <f>SUM(E302,F302,G302,H302,I302)</f>
        <v>-19.08722</v>
      </c>
    </row>
    <row r="303" spans="1:14">
      <c r="D303" s="235" t="s">
        <v>265</v>
      </c>
      <c r="E303" s="239">
        <f>SUM(E296:E302)</f>
        <v>-449.85111</v>
      </c>
      <c r="F303" s="239">
        <f>SUM(F296:F302)</f>
        <v>5</v>
      </c>
      <c r="G303" s="239">
        <f>SUM(G296:G302)</f>
        <v>-379.38889</v>
      </c>
      <c r="H303" s="239">
        <f>SUM(H296:H302)</f>
        <v>0</v>
      </c>
      <c r="I303" s="239">
        <f>SUM(I296:I302)</f>
        <v>-348.67312</v>
      </c>
      <c r="J303" s="239">
        <f>SUM(J296:J302)</f>
        <v>-1172.91312</v>
      </c>
    </row>
    <row r="304" spans="1:14">
      <c r="D304" s="236"/>
      <c r="E304" s="243"/>
      <c r="F304" s="243"/>
      <c r="G304" s="243"/>
      <c r="H304" s="243"/>
      <c r="I304" s="243"/>
      <c r="J304" s="243"/>
    </row>
    <row r="305" spans="1:14">
      <c r="D305" s="235" t="s">
        <v>273</v>
      </c>
      <c r="E305" s="240"/>
      <c r="F305" s="240"/>
      <c r="G305" s="240"/>
      <c r="H305" s="240"/>
      <c r="I305" s="240"/>
      <c r="J305" s="240"/>
    </row>
    <row r="306" spans="1:14">
      <c r="D306" s="236" t="s">
        <v>274</v>
      </c>
      <c r="E306" s="241">
        <f>BDFE!$C$1824/1000</f>
        <v>392.2249</v>
      </c>
      <c r="F306" s="241">
        <f>BDFE!$C$1897/1000</f>
        <v>-4.68479</v>
      </c>
      <c r="G306" s="241">
        <f>BDFE!$C$1678/1000</f>
        <v>-4.46263</v>
      </c>
      <c r="H306" s="241">
        <f>BDFE!$C$1532/1000</f>
        <v>0</v>
      </c>
      <c r="I306" s="241">
        <f>BDFE!$C$1459/1000</f>
        <v>-8.44044</v>
      </c>
      <c r="J306" s="241">
        <f>SUM(E306,F306,G306,H306,I306)</f>
        <v>374.63704</v>
      </c>
    </row>
    <row r="307" spans="1:14">
      <c r="D307" s="236" t="s">
        <v>275</v>
      </c>
      <c r="E307" s="242">
        <f>BDFE!$C$1825/1000</f>
        <v>0</v>
      </c>
      <c r="F307" s="242">
        <f>BDFE!$C$1898/1000</f>
        <v>0</v>
      </c>
      <c r="G307" s="242">
        <f>BDFE!$C$1679/1000</f>
        <v>0</v>
      </c>
      <c r="H307" s="242">
        <f>BDFE!$C$1533/1000</f>
        <v>0</v>
      </c>
      <c r="I307" s="242">
        <f>BDFE!$C$1460/1000</f>
        <v>0</v>
      </c>
      <c r="J307" s="242">
        <f>SUM(E307,F307,G307,H307,I307)</f>
        <v>0</v>
      </c>
    </row>
    <row r="308" spans="1:14">
      <c r="D308" s="236" t="s">
        <v>276</v>
      </c>
      <c r="E308" s="242">
        <f>BDFE!$C$1826/1000</f>
        <v>0</v>
      </c>
      <c r="F308" s="242">
        <f>BDFE!$C$1899/1000</f>
        <v>0</v>
      </c>
      <c r="G308" s="242">
        <f>BDFE!$C$1680/1000</f>
        <v>0</v>
      </c>
      <c r="H308" s="242">
        <f>BDFE!$C$1534/1000</f>
        <v>0</v>
      </c>
      <c r="I308" s="242">
        <f>BDFE!$C$1461/1000</f>
        <v>0</v>
      </c>
      <c r="J308" s="242">
        <f>SUM(E308,F308,G308,H308,I308)</f>
        <v>0</v>
      </c>
    </row>
    <row r="309" spans="1:14" hidden="true">
      <c r="D309" s="236" t="s">
        <v>277</v>
      </c>
      <c r="E309" s="242">
        <f>BDFE!$C$1827/1000</f>
        <v>0</v>
      </c>
      <c r="F309" s="242">
        <f>BDFE!$C$1900/1000</f>
        <v>0</v>
      </c>
      <c r="G309" s="242">
        <f>BDFE!$C$1681/1000</f>
        <v>0</v>
      </c>
      <c r="H309" s="242">
        <f>BDFE!$C$1535/1000</f>
        <v>0</v>
      </c>
      <c r="I309" s="242">
        <f>BDFE!$C$1462/1000</f>
        <v>0</v>
      </c>
      <c r="J309" s="242">
        <f>SUM(E309,F309,G309,H309,I309)</f>
        <v>0</v>
      </c>
    </row>
    <row r="310" spans="1:14" hidden="true">
      <c r="D310" s="236" t="s">
        <v>278</v>
      </c>
      <c r="E310" s="242">
        <f>(BDFE!C1828+BDFE!C1829)/1000</f>
        <v>0</v>
      </c>
      <c r="F310" s="242">
        <f>(BDFE!C1901+BDFE!C1902)/1000</f>
        <v>0</v>
      </c>
      <c r="G310" s="242">
        <f>(BDFE!C1682+BDFE!C1683)/1000</f>
        <v>0</v>
      </c>
      <c r="H310" s="242">
        <f>(BDFE!C1536+BDFE!C1537)/1000</f>
        <v>0</v>
      </c>
      <c r="I310" s="242">
        <f>(BDFE!C1463+BDFE!C1464)/1000</f>
        <v>0</v>
      </c>
      <c r="J310" s="242">
        <f>SUM(E310,F310,G310,H310,I310)</f>
        <v>0</v>
      </c>
    </row>
    <row r="311" spans="1:14">
      <c r="D311" s="236" t="s">
        <v>279</v>
      </c>
      <c r="E311" s="242">
        <f>BDFE!$C$1830/1000</f>
        <v>0</v>
      </c>
      <c r="F311" s="242">
        <f>BDFE!$C$1903/1000</f>
        <v>0</v>
      </c>
      <c r="G311" s="242">
        <f>BDFE!$C$1684/1000</f>
        <v>0</v>
      </c>
      <c r="H311" s="245">
        <f>BDFE!$C$1538/1000</f>
        <v>0</v>
      </c>
      <c r="I311" s="245">
        <f>BDFE!$C$1465/1000</f>
        <v>0</v>
      </c>
      <c r="J311" s="245">
        <f>SUM(E311,F311,G311,H311,I311)</f>
        <v>0</v>
      </c>
    </row>
    <row r="312" spans="1:14">
      <c r="D312" s="235" t="s">
        <v>280</v>
      </c>
      <c r="E312" s="239">
        <f>SUM(E306:E311)</f>
        <v>392.2249</v>
      </c>
      <c r="F312" s="239">
        <f>SUM(F306:F311)</f>
        <v>-4.68479</v>
      </c>
      <c r="G312" s="239">
        <f>SUM(G306:G311)</f>
        <v>-4.46263</v>
      </c>
      <c r="H312" s="239">
        <f>SUM(H306:H311)</f>
        <v>0</v>
      </c>
      <c r="I312" s="239">
        <f>SUM(I306:I311)</f>
        <v>-8.44044</v>
      </c>
      <c r="J312" s="239">
        <f>SUM(J306:J311)</f>
        <v>374.63704</v>
      </c>
    </row>
    <row r="313" spans="1:14">
      <c r="D313" s="235"/>
      <c r="E313" s="244"/>
      <c r="F313" s="244"/>
      <c r="G313" s="244"/>
      <c r="H313" s="243"/>
      <c r="I313" s="243"/>
      <c r="J313" s="243"/>
    </row>
    <row r="314" spans="1:14">
      <c r="D314" s="235" t="s">
        <v>281</v>
      </c>
      <c r="E314" s="240"/>
      <c r="F314" s="240"/>
      <c r="G314" s="240"/>
      <c r="H314" s="240"/>
      <c r="I314" s="240"/>
      <c r="J314" s="240"/>
    </row>
    <row r="315" spans="1:14">
      <c r="D315" s="236" t="s">
        <v>282</v>
      </c>
      <c r="E315" s="241">
        <f>BDFE!$C$1833/1000</f>
        <v>0</v>
      </c>
      <c r="F315" s="241">
        <f>BDFE!$C$1906/1000</f>
        <v>0</v>
      </c>
      <c r="G315" s="241">
        <f>BDFE!$C$1687/1000</f>
        <v>0</v>
      </c>
      <c r="H315" s="241">
        <f>BDFE!$C$1541/1000</f>
        <v>0</v>
      </c>
      <c r="I315" s="241">
        <f>BDFE!$C$1468/1000</f>
        <v>0</v>
      </c>
      <c r="J315" s="241">
        <f>SUM(E315,F315,G315,H315,I315)</f>
        <v>0</v>
      </c>
    </row>
    <row r="316" spans="1:14">
      <c r="D316" s="236" t="s">
        <v>283</v>
      </c>
      <c r="E316" s="242">
        <f>BDFE!$C$1835/1000</f>
        <v>0</v>
      </c>
      <c r="F316" s="242">
        <f>BDFE!$C$1908/1000</f>
        <v>0</v>
      </c>
      <c r="G316" s="242">
        <f>BDFE!$C$1689/1000</f>
        <v>0</v>
      </c>
      <c r="H316" s="242">
        <f>BDFE!$C$1543/1000</f>
        <v>0</v>
      </c>
      <c r="I316" s="242">
        <f>BDFE!$C$1470/1000</f>
        <v>0</v>
      </c>
      <c r="J316" s="242">
        <f>SUM(E316,F316,G316,H316,I316)</f>
        <v>0</v>
      </c>
    </row>
    <row r="317" spans="1:14">
      <c r="D317" s="236" t="s">
        <v>284</v>
      </c>
      <c r="E317" s="242">
        <f>BDFE!$C$1837/1000</f>
        <v>0</v>
      </c>
      <c r="F317" s="242">
        <f>BDFE!$C$1910/1000</f>
        <v>0</v>
      </c>
      <c r="G317" s="242">
        <f>BDFE!$C$1691/1000</f>
        <v>0</v>
      </c>
      <c r="H317" s="242">
        <f>BDFE!$C$1545/1000</f>
        <v>0</v>
      </c>
      <c r="I317" s="242">
        <f>BDFE!$C$1472/1000</f>
        <v>0</v>
      </c>
      <c r="J317" s="242">
        <f>SUM(E317,F317,G317,H317,I317)</f>
        <v>0</v>
      </c>
    </row>
    <row r="318" spans="1:14">
      <c r="D318" s="236" t="s">
        <v>285</v>
      </c>
      <c r="E318" s="242">
        <f>BDFE!$C$1839/1000</f>
        <v>0</v>
      </c>
      <c r="F318" s="242">
        <f>BDFE!$C$1912/1000</f>
        <v>0</v>
      </c>
      <c r="G318" s="242">
        <f>BDFE!$C$1693/1000</f>
        <v>0</v>
      </c>
      <c r="H318" s="242">
        <f>BDFE!$C$1547/1000</f>
        <v>0</v>
      </c>
      <c r="I318" s="242">
        <f>BDFE!$C$1474/1000</f>
        <v>0</v>
      </c>
      <c r="J318" s="242">
        <f>SUM(E318,F318,G318,H318,I318)</f>
        <v>0</v>
      </c>
    </row>
    <row r="319" spans="1:14">
      <c r="D319" s="236" t="s">
        <v>286</v>
      </c>
      <c r="E319" s="242">
        <f>BDFE!$C$1841/1000</f>
        <v>0</v>
      </c>
      <c r="F319" s="242">
        <f>BDFE!$C$1914/1000</f>
        <v>0</v>
      </c>
      <c r="G319" s="242">
        <f>BDFE!$C$1695/1000</f>
        <v>0</v>
      </c>
      <c r="H319" s="242">
        <f>BDFE!$C$1549/1000</f>
        <v>0</v>
      </c>
      <c r="I319" s="242">
        <f>BDFE!$C$1476/1000</f>
        <v>0</v>
      </c>
      <c r="J319" s="242">
        <f>SUM(E319,F319,G319,H319,I319)</f>
        <v>0</v>
      </c>
    </row>
    <row r="320" spans="1:14">
      <c r="D320" s="236" t="s">
        <v>287</v>
      </c>
      <c r="E320" s="242">
        <f>BDFE!$C$1843/1000</f>
        <v>0</v>
      </c>
      <c r="F320" s="242">
        <f>BDFE!$C$1916/1000</f>
        <v>0</v>
      </c>
      <c r="G320" s="242">
        <f>BDFE!$C$1697/1000</f>
        <v>0</v>
      </c>
      <c r="H320" s="242">
        <f>BDFE!$C$1551/1000</f>
        <v>0</v>
      </c>
      <c r="I320" s="242">
        <f>BDFE!$C$1478/1000</f>
        <v>0</v>
      </c>
      <c r="J320" s="242">
        <f>SUM(E320,F320,G320,H320,I320)</f>
        <v>0</v>
      </c>
    </row>
    <row r="321" spans="1:14">
      <c r="D321" s="236" t="s">
        <v>288</v>
      </c>
      <c r="E321" s="242">
        <f>BDFE!$C$1845/1000</f>
        <v>0</v>
      </c>
      <c r="F321" s="242">
        <f>BDFE!$C$1918/1000</f>
        <v>0</v>
      </c>
      <c r="G321" s="242">
        <f>BDFE!$C$1699/1000</f>
        <v>0</v>
      </c>
      <c r="H321" s="242">
        <f>BDFE!$C$1553/1000</f>
        <v>0</v>
      </c>
      <c r="I321" s="242">
        <f>BDFE!$C$1480/1000</f>
        <v>0</v>
      </c>
      <c r="J321" s="242">
        <f>SUM(E321,F321,G321,H321,I321)</f>
        <v>0</v>
      </c>
    </row>
    <row r="322" spans="1:14">
      <c r="D322" s="236" t="s">
        <v>289</v>
      </c>
      <c r="E322" s="242">
        <f>BDFE!$C$1847/1000</f>
        <v>0</v>
      </c>
      <c r="F322" s="242">
        <f>BDFE!$C$1920/1000</f>
        <v>0</v>
      </c>
      <c r="G322" s="242">
        <f>BDFE!$C$1701/1000</f>
        <v>0</v>
      </c>
      <c r="H322" s="242">
        <f>BDFE!$C$1555/1000</f>
        <v>0</v>
      </c>
      <c r="I322" s="242">
        <f>BDFE!$C$1482/1000</f>
        <v>0</v>
      </c>
      <c r="J322" s="242">
        <f>SUM(E322,F322,G322,H322,I322)</f>
        <v>0</v>
      </c>
    </row>
    <row r="323" spans="1:14">
      <c r="D323" s="236" t="s">
        <v>290</v>
      </c>
      <c r="E323" s="242">
        <f>BDFE!$C$1849/1000</f>
        <v>0</v>
      </c>
      <c r="F323" s="242">
        <f>BDFE!$C$1922/1000</f>
        <v>0</v>
      </c>
      <c r="G323" s="242">
        <f>BDFE!$C$1703/1000</f>
        <v>0</v>
      </c>
      <c r="H323" s="242">
        <f>BDFE!$C$1557/1000</f>
        <v>0</v>
      </c>
      <c r="I323" s="242">
        <f>BDFE!$C$1484/1000</f>
        <v>0</v>
      </c>
      <c r="J323" s="242">
        <f>SUM(E323,F323,G323,H323,I323)</f>
        <v>0</v>
      </c>
    </row>
    <row r="324" spans="1:14">
      <c r="D324" s="236" t="s">
        <v>291</v>
      </c>
      <c r="E324" s="242">
        <f>BDFE!$C$1851/1000</f>
        <v>0</v>
      </c>
      <c r="F324" s="242">
        <f>BDFE!$C$1924/1000</f>
        <v>0</v>
      </c>
      <c r="G324" s="242">
        <f>BDFE!$C$1705/1000</f>
        <v>0</v>
      </c>
      <c r="H324" s="242">
        <f>BDFE!$C$1559/1000</f>
        <v>0</v>
      </c>
      <c r="I324" s="242">
        <f>BDFE!$C$1486/1000</f>
        <v>0</v>
      </c>
      <c r="J324" s="242">
        <f>SUM(E324,F324,G324,H324,I324)</f>
        <v>0</v>
      </c>
    </row>
    <row r="325" spans="1:14" hidden="true">
      <c r="D325" s="236" t="s">
        <v>292</v>
      </c>
      <c r="E325" s="242">
        <f>BDFE!$C$1854/1000</f>
        <v>0</v>
      </c>
      <c r="F325" s="242">
        <f>BDFE!$C$1927/1000</f>
        <v>0</v>
      </c>
      <c r="G325" s="242">
        <f>BDFE!$C$1708/1000</f>
        <v>0</v>
      </c>
      <c r="H325" s="242">
        <f>BDFE!$C$1562/1000</f>
        <v>0</v>
      </c>
      <c r="I325" s="242">
        <f>BDFE!$C$1489/1000</f>
        <v>0</v>
      </c>
      <c r="J325" s="242">
        <f>SUM(E325,F325,G325,H325,I325)</f>
        <v>0</v>
      </c>
    </row>
    <row r="326" spans="1:14" hidden="true">
      <c r="D326" s="236" t="s">
        <v>293</v>
      </c>
      <c r="E326" s="242">
        <f>BDFE!$C$1855/1000</f>
        <v>0</v>
      </c>
      <c r="F326" s="242">
        <f>BDFE!$C$1928/1000</f>
        <v>0</v>
      </c>
      <c r="G326" s="242">
        <f>BDFE!$C$1709/1000</f>
        <v>0</v>
      </c>
      <c r="H326" s="242">
        <f>BDFE!$C$1563/1000</f>
        <v>0</v>
      </c>
      <c r="I326" s="242">
        <f>BDFE!$C$1490/1000</f>
        <v>0</v>
      </c>
      <c r="J326" s="242">
        <f>SUM(E326,F326,G326,H326,I326)</f>
        <v>0</v>
      </c>
    </row>
    <row r="327" spans="1:14">
      <c r="D327" s="236" t="s">
        <v>31</v>
      </c>
      <c r="E327" s="245">
        <f>(BDFE!C1834+BDFE!C1836+BDFE!C1838+BDFE!C1840+BDFE!C1842+BDFE!C1844+BDFE!C1846+BDFE!C1848+BDFE!C1850+BDFE!C1852-BDFE!C1796)/1000</f>
        <v>0</v>
      </c>
      <c r="F327" s="245">
        <f>(BDFE!C1907+BDFE!C1909+BDFE!C1911+BDFE!C1913+BDFE!C1915+BDFE!C1917+BDFE!C1919+BDFE!C1921+BDFE!C1923+BDFE!C1925-BDFE!C1869)/1000</f>
        <v>0</v>
      </c>
      <c r="G327" s="245">
        <f>(BDFE!C1688+BDFE!C1690+BDFE!C1692+BDFE!C1694+BDFE!C1696+BDFE!C1698+BDFE!C1700+BDFE!C1702+BDFE!C1704+BDFE!C1706-BDFE!C1650)/1000</f>
        <v>0</v>
      </c>
      <c r="H327" s="245">
        <f>(BDFE!C1542+BDFE!C1544+BDFE!C1546+BDFE!C1548+BDFE!C1550+BDFE!C1552+BDFE!C1554+BDFE!C1556+BDFE!C1558+BDFE!C1560-BDFE!C1504)/1000</f>
        <v>0</v>
      </c>
      <c r="I327" s="245">
        <f>(BDFE!C1469+BDFE!C1471+BDFE!C1473+BDFE!C1475+BDFE!C1477+BDFE!C1479+BDFE!C1481+BDFE!C1483+BDFE!C1485+BDFE!C1487-BDFE!C1431)/1000</f>
        <v>0</v>
      </c>
      <c r="J327" s="245">
        <f>SUM(E327,F327,G327,H327,I327)</f>
        <v>0</v>
      </c>
    </row>
    <row r="328" spans="1:14">
      <c r="D328" s="235" t="s">
        <v>294</v>
      </c>
      <c r="E328" s="239">
        <f>SUM(E315:E327)</f>
        <v>0</v>
      </c>
      <c r="F328" s="239">
        <f>SUM(F315:F327)</f>
        <v>0</v>
      </c>
      <c r="G328" s="239">
        <f>SUM(G315:G327)</f>
        <v>0</v>
      </c>
      <c r="H328" s="239">
        <f>SUM(H315:H327)</f>
        <v>0</v>
      </c>
      <c r="I328" s="239">
        <f>SUM(I315:I327)</f>
        <v>0</v>
      </c>
      <c r="J328" s="239">
        <f>SUM(J315:J327)</f>
        <v>0</v>
      </c>
    </row>
    <row r="329" spans="1:14">
      <c r="D329" s="236"/>
      <c r="E329" s="246"/>
      <c r="F329" s="246"/>
      <c r="G329" s="246"/>
      <c r="H329" s="249"/>
      <c r="I329" s="249"/>
      <c r="J329" s="249"/>
    </row>
    <row r="330" spans="1:14">
      <c r="D330" s="235" t="s">
        <v>295</v>
      </c>
      <c r="E330" s="247">
        <f>E293+E303+E312+E328</f>
        <v>-40.51625</v>
      </c>
      <c r="F330" s="247">
        <f>F293+F303+F312+F328</f>
        <v>2.55961</v>
      </c>
      <c r="G330" s="247">
        <f>G293+G303+G312+G328</f>
        <v>-365.90498</v>
      </c>
      <c r="H330" s="239">
        <f>H293+H303+H312+H328</f>
        <v>3.7278</v>
      </c>
      <c r="I330" s="239">
        <f>I293+I303+I312+I328</f>
        <v>-328.55053</v>
      </c>
      <c r="J330" s="239">
        <f>J293+J303+J312+J328</f>
        <v>-728.68435</v>
      </c>
    </row>
    <row r="331" spans="1:14">
      <c r="D331" s="237" t="s">
        <v>296</v>
      </c>
      <c r="E331" s="247">
        <f>BDBG!$H$1516/1000</f>
        <v>44.26026</v>
      </c>
      <c r="F331" s="247">
        <f>BDBG!$H$1570/1000</f>
        <v>-1.97164</v>
      </c>
      <c r="G331" s="247">
        <f>BDBG!$H$1408/1000</f>
        <v>418.21218</v>
      </c>
      <c r="H331" s="239">
        <f>BDBG!$H$1300/1000</f>
        <v>2.93181</v>
      </c>
      <c r="I331" s="239">
        <f>BDBG!$H$1246/1000</f>
        <v>368.30144</v>
      </c>
      <c r="J331" s="239">
        <f>SUM(E331,F331,G331,H331,I331)</f>
        <v>831.73405</v>
      </c>
    </row>
    <row r="332" spans="1:14">
      <c r="D332" s="237" t="s">
        <v>297</v>
      </c>
      <c r="E332" s="247">
        <f>E330+E331</f>
        <v>3.74401</v>
      </c>
      <c r="F332" s="247">
        <f>F330+F331</f>
        <v>0.58797</v>
      </c>
      <c r="G332" s="247">
        <f>G330+G331</f>
        <v>52.3072</v>
      </c>
      <c r="H332" s="247">
        <f>H330+H331</f>
        <v>6.65961</v>
      </c>
      <c r="I332" s="247">
        <f>I330+I331</f>
        <v>39.75091</v>
      </c>
      <c r="J332" s="247">
        <f>J330+J331</f>
        <v>103.0497</v>
      </c>
    </row>
    <row r="334" spans="1:14">
      <c r="H334" s="253"/>
      <c r="I334" s="253"/>
    </row>
    <row r="339" spans="1:14">
      <c r="D339" s="250"/>
      <c r="E339" s="235" t="s">
        <v>299</v>
      </c>
      <c r="F339" s="236"/>
      <c r="G339" s="236"/>
      <c r="H339" s="236"/>
      <c r="I339" s="236"/>
    </row>
    <row r="340" spans="1:14">
      <c r="D340" s="251" t="s">
        <v>300</v>
      </c>
      <c r="E340" s="238" t="s">
        <v>307</v>
      </c>
      <c r="F340" s="238" t="s">
        <v>308</v>
      </c>
      <c r="G340" s="238" t="s">
        <v>99</v>
      </c>
      <c r="H340" s="238" t="s">
        <v>309</v>
      </c>
      <c r="I340" s="238" t="s">
        <v>310</v>
      </c>
      <c r="J340" s="238" t="s">
        <v>72</v>
      </c>
    </row>
    <row r="341" spans="1:14">
      <c r="D341" s="235" t="s">
        <v>264</v>
      </c>
      <c r="E341" s="239">
        <f>(BDFE!F1807+BDFE!F1796)/1000</f>
        <v>17.10996</v>
      </c>
      <c r="F341" s="239">
        <f>(BDFE!F1880+BDFE!F1869)/1000</f>
        <v>2.2444</v>
      </c>
      <c r="G341" s="239">
        <f>(BDFE!F1661+BDFE!F1650)/1000</f>
        <v>17.94654</v>
      </c>
      <c r="H341" s="239">
        <f>(BDFE!F1515+BDFE!F1504)/1000</f>
        <v>3.7278</v>
      </c>
      <c r="I341" s="239">
        <f>(BDFE!F1442+BDFE!F1431)/1000</f>
        <v>28.56303</v>
      </c>
      <c r="J341" s="239">
        <f>SUM(E341,F341,G341,H341,I341)</f>
        <v>69.59173</v>
      </c>
    </row>
    <row r="342" spans="1:14">
      <c r="D342" s="236"/>
      <c r="E342" s="240"/>
      <c r="F342" s="240"/>
      <c r="G342" s="240"/>
      <c r="H342" s="240"/>
      <c r="I342" s="240"/>
      <c r="J342" s="240"/>
    </row>
    <row r="343" spans="1:14">
      <c r="D343" s="235" t="s">
        <v>265</v>
      </c>
      <c r="E343" s="240"/>
      <c r="F343" s="240"/>
      <c r="G343" s="240"/>
      <c r="H343" s="240"/>
      <c r="I343" s="240"/>
      <c r="J343" s="240"/>
    </row>
    <row r="344" spans="1:14">
      <c r="D344" s="236" t="s">
        <v>266</v>
      </c>
      <c r="E344" s="241">
        <f>BDFE!$F$1810/1000</f>
        <v>0</v>
      </c>
      <c r="F344" s="241">
        <f>BDFE!$F$1883/1000</f>
        <v>0</v>
      </c>
      <c r="G344" s="241">
        <f>BDFE!$F$1664/1000</f>
        <v>-325</v>
      </c>
      <c r="H344" s="241">
        <f>BDFE!$F$1518/1000</f>
        <v>0</v>
      </c>
      <c r="I344" s="241">
        <f>BDFE!$F$1445/1000</f>
        <v>0</v>
      </c>
      <c r="J344" s="241">
        <f>SUM(E344,F344,G344,H344,I344)</f>
        <v>-325</v>
      </c>
    </row>
    <row r="345" spans="1:14">
      <c r="D345" s="236" t="s">
        <v>267</v>
      </c>
      <c r="E345" s="242">
        <f>(BDFE!F1811+BDFE!F1812)/1000</f>
        <v>-431.375</v>
      </c>
      <c r="F345" s="242">
        <f>(BDFE!F1884+BDFE!F1885)/1000</f>
        <v>5</v>
      </c>
      <c r="G345" s="242">
        <f>(BDFE!F1665+BDFE!F1666)/1000</f>
        <v>-55</v>
      </c>
      <c r="H345" s="242">
        <f>(BDFE!F1519+BDFE!F1520)/1000</f>
        <v>0</v>
      </c>
      <c r="I345" s="242">
        <f>(BDFE!F1446+BDFE!F1447)/1000</f>
        <v>-165</v>
      </c>
      <c r="J345" s="242">
        <f>SUM(E345,F345,G345,H345,I345)</f>
        <v>-646.375</v>
      </c>
    </row>
    <row r="346" spans="1:14">
      <c r="D346" s="236" t="s">
        <v>268</v>
      </c>
      <c r="E346" s="242">
        <f>BDFE!$F$1813/1000</f>
        <v>0</v>
      </c>
      <c r="F346" s="242">
        <f>BDFE!$F$1886/1000</f>
        <v>0</v>
      </c>
      <c r="G346" s="242">
        <f>BDFE!$F$1667/1000</f>
        <v>0</v>
      </c>
      <c r="H346" s="242">
        <f>BDFE!$F$1521/1000</f>
        <v>0</v>
      </c>
      <c r="I346" s="242">
        <f>BDFE!$F$1448/1000</f>
        <v>0</v>
      </c>
      <c r="J346" s="242">
        <f>SUM(E346,F346,G346,H346,I346)</f>
        <v>0</v>
      </c>
    </row>
    <row r="347" spans="1:14">
      <c r="D347" s="236" t="s">
        <v>269</v>
      </c>
      <c r="E347" s="242">
        <f>BDFE!$F$1815/1000</f>
        <v>0.61111</v>
      </c>
      <c r="F347" s="242">
        <f>BDFE!$F$1888/1000</f>
        <v>0</v>
      </c>
      <c r="G347" s="242">
        <f>BDFE!$F$1669/1000</f>
        <v>0.61111</v>
      </c>
      <c r="H347" s="242">
        <f>BDFE!$F$1523/1000</f>
        <v>0</v>
      </c>
      <c r="I347" s="242">
        <f>BDFE!$F$1450/1000</f>
        <v>0</v>
      </c>
      <c r="J347" s="242">
        <f>SUM(E347,F347,G347,H347,I347)</f>
        <v>1.22222</v>
      </c>
    </row>
    <row r="348" spans="1:14">
      <c r="D348" s="236" t="s">
        <v>270</v>
      </c>
      <c r="E348" s="242">
        <f>BDFE!$F$1816/1000</f>
        <v>0</v>
      </c>
      <c r="F348" s="242">
        <f>BDFE!$F$1889/1000</f>
        <v>0</v>
      </c>
      <c r="G348" s="242">
        <f>BDFE!$F$1670/1000</f>
        <v>0</v>
      </c>
      <c r="H348" s="242">
        <f>BDFE!$F$1524/1000</f>
        <v>0</v>
      </c>
      <c r="I348" s="242">
        <f>BDFE!$F$1451/1000</f>
        <v>0</v>
      </c>
      <c r="J348" s="242">
        <f>SUM(E348,F348,G348,H348,I348)</f>
        <v>0</v>
      </c>
    </row>
    <row r="349" spans="1:14">
      <c r="D349" s="236" t="s">
        <v>271</v>
      </c>
      <c r="E349" s="242">
        <f>(BDFE!F1817+BDFE!F1818+BDFE!F1820)/1000</f>
        <v>0</v>
      </c>
      <c r="F349" s="242">
        <f>(BDFE!F1890+BDFE!F1891+BDFE!F1893)/1000</f>
        <v>0</v>
      </c>
      <c r="G349" s="242">
        <f>(BDFE!F1671+BDFE!F1672+BDFE!F1674)/1000</f>
        <v>0</v>
      </c>
      <c r="H349" s="242">
        <f>(BDFE!F1525+BDFE!F1526+BDFE!F1528)/1000</f>
        <v>0</v>
      </c>
      <c r="I349" s="242">
        <f>(BDFE!F1452+BDFE!F1453+BDFE!F1455)/1000</f>
        <v>-183.67312</v>
      </c>
      <c r="J349" s="242">
        <f>SUM(E349,F349,G349,H349,I349)</f>
        <v>-183.67312</v>
      </c>
    </row>
    <row r="350" spans="1:14">
      <c r="D350" s="236" t="s">
        <v>272</v>
      </c>
      <c r="E350" s="242">
        <f>(BDFE!F1819+BDFE!F1821)/1000</f>
        <v>-19.08722</v>
      </c>
      <c r="F350" s="242">
        <f>(BDFE!F1892+BDFE!F1894)/1000</f>
        <v>0</v>
      </c>
      <c r="G350" s="242">
        <f>(BDFE!F1673+BDFE!F1675)/1000</f>
        <v>0</v>
      </c>
      <c r="H350" s="242">
        <f>(BDFE!F1527+BDFE!F1529)/1000</f>
        <v>0</v>
      </c>
      <c r="I350" s="242">
        <f>(BDFE!F1454+BDFE!F1456)/1000</f>
        <v>0</v>
      </c>
      <c r="J350" s="242">
        <f>SUM(E350,F350,G350,H350,I350)</f>
        <v>-19.08722</v>
      </c>
    </row>
    <row r="351" spans="1:14">
      <c r="D351" s="235" t="s">
        <v>265</v>
      </c>
      <c r="E351" s="239">
        <f>SUM(E344:E350)</f>
        <v>-449.85111</v>
      </c>
      <c r="F351" s="239">
        <f>SUM(F344:F350)</f>
        <v>5</v>
      </c>
      <c r="G351" s="239">
        <f>SUM(G344:G350)</f>
        <v>-379.38889</v>
      </c>
      <c r="H351" s="239">
        <f>SUM(H344:H350)</f>
        <v>0</v>
      </c>
      <c r="I351" s="239">
        <f>SUM(I344:I350)</f>
        <v>-348.67312</v>
      </c>
      <c r="J351" s="239">
        <f>SUM(J344:J350)</f>
        <v>-1172.91312</v>
      </c>
    </row>
    <row r="352" spans="1:14">
      <c r="D352" s="236"/>
      <c r="E352" s="243"/>
      <c r="F352" s="243"/>
      <c r="G352" s="243"/>
      <c r="H352" s="243"/>
      <c r="I352" s="243"/>
      <c r="J352" s="243"/>
    </row>
    <row r="353" spans="1:14">
      <c r="D353" s="235" t="s">
        <v>273</v>
      </c>
      <c r="E353" s="240"/>
      <c r="F353" s="240"/>
      <c r="G353" s="240"/>
      <c r="H353" s="240"/>
      <c r="I353" s="240"/>
      <c r="J353" s="240"/>
    </row>
    <row r="354" spans="1:14">
      <c r="D354" s="236" t="s">
        <v>274</v>
      </c>
      <c r="E354" s="241">
        <f>BDFE!$F$1824/1000</f>
        <v>392.2249</v>
      </c>
      <c r="F354" s="241">
        <f>BDFE!$F$1897/1000</f>
        <v>-4.68479</v>
      </c>
      <c r="G354" s="241">
        <f>BDFE!$F$1678/1000</f>
        <v>-4.46263</v>
      </c>
      <c r="H354" s="241">
        <f>BDFE!$F$1532/1000</f>
        <v>0</v>
      </c>
      <c r="I354" s="241">
        <f>BDFE!$F$1459/1000</f>
        <v>-8.44044</v>
      </c>
      <c r="J354" s="241">
        <f>SUM(E354,F354,G354,H354,I354)</f>
        <v>374.63704</v>
      </c>
    </row>
    <row r="355" spans="1:14">
      <c r="D355" s="236" t="s">
        <v>275</v>
      </c>
      <c r="E355" s="242">
        <f>BDFE!$F$1825/1000</f>
        <v>0</v>
      </c>
      <c r="F355" s="242">
        <f>BDFE!$F$1898/1000</f>
        <v>0</v>
      </c>
      <c r="G355" s="242">
        <f>BDFE!$F$1679/1000</f>
        <v>0</v>
      </c>
      <c r="H355" s="242">
        <f>BDFE!$F$1533/1000</f>
        <v>0</v>
      </c>
      <c r="I355" s="242">
        <f>BDFE!$F$1460/1000</f>
        <v>0</v>
      </c>
      <c r="J355" s="242">
        <f>SUM(E355,F355,G355,H355,I355)</f>
        <v>0</v>
      </c>
    </row>
    <row r="356" spans="1:14">
      <c r="D356" s="236" t="s">
        <v>276</v>
      </c>
      <c r="E356" s="242">
        <f>BDFE!$F$1826/1000</f>
        <v>0</v>
      </c>
      <c r="F356" s="242">
        <f>BDFE!$F$1899/1000</f>
        <v>0</v>
      </c>
      <c r="G356" s="242">
        <f>BDFE!$F$1680/1000</f>
        <v>0</v>
      </c>
      <c r="H356" s="242">
        <f>BDFE!$F$1534/1000</f>
        <v>0</v>
      </c>
      <c r="I356" s="242">
        <f>BDFE!$F$1461/1000</f>
        <v>0</v>
      </c>
      <c r="J356" s="242">
        <f>SUM(E356,F356,G356,H356,I356)</f>
        <v>0</v>
      </c>
    </row>
    <row r="357" spans="1:14" hidden="true">
      <c r="D357" s="236" t="s">
        <v>277</v>
      </c>
      <c r="E357" s="242">
        <f>BDFE!$F$1827/1000</f>
        <v>0</v>
      </c>
      <c r="F357" s="242">
        <f>BDFE!$F$1900/1000</f>
        <v>0</v>
      </c>
      <c r="G357" s="242">
        <f>BDFE!$F$1681/1000</f>
        <v>0</v>
      </c>
      <c r="H357" s="242">
        <f>BDFE!$F$1535/1000</f>
        <v>0</v>
      </c>
      <c r="I357" s="242">
        <f>BDFE!$F$1462/1000</f>
        <v>0</v>
      </c>
      <c r="J357" s="242">
        <f>SUM(E357,F357,G357,H357,I357)</f>
        <v>0</v>
      </c>
    </row>
    <row r="358" spans="1:14" hidden="true">
      <c r="D358" s="236" t="s">
        <v>278</v>
      </c>
      <c r="E358" s="242">
        <f>(BDFE!F1828+BDFE!F1829)/1000</f>
        <v>0</v>
      </c>
      <c r="F358" s="242">
        <f>(BDFE!F1901+BDFE!F1902)/1000</f>
        <v>0</v>
      </c>
      <c r="G358" s="242">
        <f>(BDFE!F1682+BDFE!F1683)/1000</f>
        <v>0</v>
      </c>
      <c r="H358" s="242">
        <f>(BDFE!F1536+BDFE!F1537)/1000</f>
        <v>0</v>
      </c>
      <c r="I358" s="242">
        <f>(BDFE!F1463+BDFE!F1464)/1000</f>
        <v>0</v>
      </c>
      <c r="J358" s="242">
        <f>SUM(E358,F358,G358,H358,I358)</f>
        <v>0</v>
      </c>
    </row>
    <row r="359" spans="1:14">
      <c r="D359" s="236" t="s">
        <v>279</v>
      </c>
      <c r="E359" s="242">
        <f>BDFE!$F$1830/1000</f>
        <v>0</v>
      </c>
      <c r="F359" s="242">
        <f>BDFE!$F$1903/1000</f>
        <v>0</v>
      </c>
      <c r="G359" s="242">
        <f>BDFE!$F$1684/1000</f>
        <v>0</v>
      </c>
      <c r="H359" s="245">
        <f>BDFE!$F$1538/1000</f>
        <v>0</v>
      </c>
      <c r="I359" s="245">
        <f>BDFE!$F$1465/1000</f>
        <v>0</v>
      </c>
      <c r="J359" s="245">
        <f>SUM(E359,F359,G359,H359,I359)</f>
        <v>0</v>
      </c>
    </row>
    <row r="360" spans="1:14">
      <c r="D360" s="235" t="s">
        <v>280</v>
      </c>
      <c r="E360" s="239">
        <f>SUM(E354:E359)</f>
        <v>392.2249</v>
      </c>
      <c r="F360" s="239">
        <f>SUM(F354:F359)</f>
        <v>-4.68479</v>
      </c>
      <c r="G360" s="239">
        <f>SUM(G354:G359)</f>
        <v>-4.46263</v>
      </c>
      <c r="H360" s="239">
        <f>SUM(H354:H359)</f>
        <v>0</v>
      </c>
      <c r="I360" s="239">
        <f>SUM(I354:I359)</f>
        <v>-8.44044</v>
      </c>
      <c r="J360" s="239">
        <f>SUM(J354:J359)</f>
        <v>374.63704</v>
      </c>
    </row>
    <row r="361" spans="1:14">
      <c r="D361" s="235"/>
      <c r="E361" s="244"/>
      <c r="F361" s="244"/>
      <c r="G361" s="244"/>
      <c r="H361" s="243"/>
      <c r="I361" s="243"/>
      <c r="J361" s="243"/>
    </row>
    <row r="362" spans="1:14">
      <c r="D362" s="235" t="s">
        <v>281</v>
      </c>
      <c r="E362" s="240"/>
      <c r="F362" s="240"/>
      <c r="G362" s="240"/>
      <c r="H362" s="240"/>
      <c r="I362" s="240"/>
      <c r="J362" s="240"/>
    </row>
    <row r="363" spans="1:14">
      <c r="D363" s="236" t="s">
        <v>282</v>
      </c>
      <c r="E363" s="241">
        <f>BDFE!$F$1833/1000</f>
        <v>0</v>
      </c>
      <c r="F363" s="241">
        <f>BDFE!$F$1906/1000</f>
        <v>0</v>
      </c>
      <c r="G363" s="241">
        <f>BDFE!$F$1687/1000</f>
        <v>0</v>
      </c>
      <c r="H363" s="241">
        <f>BDFE!$F$1541/1000</f>
        <v>0</v>
      </c>
      <c r="I363" s="241">
        <f>BDFE!$F$1468/1000</f>
        <v>0</v>
      </c>
      <c r="J363" s="241">
        <f>SUM(E363,F363,G363,H363,I363)</f>
        <v>0</v>
      </c>
    </row>
    <row r="364" spans="1:14">
      <c r="D364" s="236" t="s">
        <v>283</v>
      </c>
      <c r="E364" s="242">
        <f>BDFE!$F$1835/1000</f>
        <v>0</v>
      </c>
      <c r="F364" s="242">
        <f>BDFE!$F$1908/1000</f>
        <v>0</v>
      </c>
      <c r="G364" s="242">
        <f>BDFE!$F$1689/1000</f>
        <v>0</v>
      </c>
      <c r="H364" s="242">
        <f>BDFE!$F$1543/1000</f>
        <v>0</v>
      </c>
      <c r="I364" s="242">
        <f>BDFE!$F$1470/1000</f>
        <v>0</v>
      </c>
      <c r="J364" s="242">
        <f>SUM(E364,F364,G364,H364,I364)</f>
        <v>0</v>
      </c>
    </row>
    <row r="365" spans="1:14">
      <c r="D365" s="236" t="s">
        <v>284</v>
      </c>
      <c r="E365" s="242">
        <f>BDFE!$F$1837/1000</f>
        <v>0</v>
      </c>
      <c r="F365" s="242">
        <f>BDFE!$F$1910/1000</f>
        <v>0</v>
      </c>
      <c r="G365" s="242">
        <f>BDFE!$F$1691/1000</f>
        <v>0</v>
      </c>
      <c r="H365" s="242">
        <f>BDFE!$F$1545/1000</f>
        <v>0</v>
      </c>
      <c r="I365" s="242">
        <f>BDFE!$F$1472/1000</f>
        <v>0</v>
      </c>
      <c r="J365" s="242">
        <f>SUM(E365,F365,G365,H365,I365)</f>
        <v>0</v>
      </c>
    </row>
    <row r="366" spans="1:14">
      <c r="D366" s="236" t="s">
        <v>285</v>
      </c>
      <c r="E366" s="242">
        <f>BDFE!$F$1839/1000</f>
        <v>0</v>
      </c>
      <c r="F366" s="242">
        <f>BDFE!$F$1912/1000</f>
        <v>0</v>
      </c>
      <c r="G366" s="242">
        <f>BDFE!$F$1693/1000</f>
        <v>0</v>
      </c>
      <c r="H366" s="242">
        <f>BDFE!$F$1547/1000</f>
        <v>0</v>
      </c>
      <c r="I366" s="242">
        <f>BDFE!$F$1474/1000</f>
        <v>0</v>
      </c>
      <c r="J366" s="242">
        <f>SUM(E366,F366,G366,H366,I366)</f>
        <v>0</v>
      </c>
    </row>
    <row r="367" spans="1:14">
      <c r="D367" s="236" t="s">
        <v>286</v>
      </c>
      <c r="E367" s="242">
        <f>BDFE!$F$1841/1000</f>
        <v>0</v>
      </c>
      <c r="F367" s="242">
        <f>BDFE!$F$1914/1000</f>
        <v>0</v>
      </c>
      <c r="G367" s="242">
        <f>BDFE!$F$1695/1000</f>
        <v>0</v>
      </c>
      <c r="H367" s="242">
        <f>BDFE!$F$1549/1000</f>
        <v>0</v>
      </c>
      <c r="I367" s="242">
        <f>BDFE!$F$1476/1000</f>
        <v>0</v>
      </c>
      <c r="J367" s="242">
        <f>SUM(E367,F367,G367,H367,I367)</f>
        <v>0</v>
      </c>
    </row>
    <row r="368" spans="1:14">
      <c r="D368" s="236" t="s">
        <v>287</v>
      </c>
      <c r="E368" s="242">
        <f>BDFE!$F$1843/1000</f>
        <v>0</v>
      </c>
      <c r="F368" s="242">
        <f>BDFE!$F$1916/1000</f>
        <v>0</v>
      </c>
      <c r="G368" s="242">
        <f>BDFE!$F$1697/1000</f>
        <v>0</v>
      </c>
      <c r="H368" s="242">
        <f>BDFE!$F$1551/1000</f>
        <v>0</v>
      </c>
      <c r="I368" s="242">
        <f>BDFE!$F$1478/1000</f>
        <v>0</v>
      </c>
      <c r="J368" s="242">
        <f>SUM(E368,F368,G368,H368,I368)</f>
        <v>0</v>
      </c>
    </row>
    <row r="369" spans="1:14">
      <c r="D369" s="236" t="s">
        <v>288</v>
      </c>
      <c r="E369" s="242">
        <f>BDFE!$F$1845/1000</f>
        <v>0</v>
      </c>
      <c r="F369" s="242">
        <f>BDFE!$F$1918/1000</f>
        <v>0</v>
      </c>
      <c r="G369" s="242">
        <f>BDFE!$F$1699/1000</f>
        <v>0</v>
      </c>
      <c r="H369" s="242">
        <f>BDFE!$F$1553/1000</f>
        <v>0</v>
      </c>
      <c r="I369" s="242">
        <f>BDFE!$F$1480/1000</f>
        <v>0</v>
      </c>
      <c r="J369" s="242">
        <f>SUM(E369,F369,G369,H369,I369)</f>
        <v>0</v>
      </c>
    </row>
    <row r="370" spans="1:14">
      <c r="D370" s="236" t="s">
        <v>289</v>
      </c>
      <c r="E370" s="242">
        <f>BDFE!$F$1847/1000</f>
        <v>0</v>
      </c>
      <c r="F370" s="242">
        <f>BDFE!$F$1920/1000</f>
        <v>0</v>
      </c>
      <c r="G370" s="242">
        <f>BDFE!$F$1701/1000</f>
        <v>0</v>
      </c>
      <c r="H370" s="242">
        <f>BDFE!$F$1555/1000</f>
        <v>0</v>
      </c>
      <c r="I370" s="242">
        <f>BDFE!$F$1482/1000</f>
        <v>0</v>
      </c>
      <c r="J370" s="242">
        <f>SUM(E370,F370,G370,H370,I370)</f>
        <v>0</v>
      </c>
    </row>
    <row r="371" spans="1:14">
      <c r="D371" s="236" t="s">
        <v>290</v>
      </c>
      <c r="E371" s="242">
        <f>BDFE!$F$1849/1000</f>
        <v>0</v>
      </c>
      <c r="F371" s="242">
        <f>BDFE!$F$1922/1000</f>
        <v>0</v>
      </c>
      <c r="G371" s="242">
        <f>BDFE!$F$1703/1000</f>
        <v>0</v>
      </c>
      <c r="H371" s="242">
        <f>BDFE!$F$1557/1000</f>
        <v>0</v>
      </c>
      <c r="I371" s="242">
        <f>BDFE!$F$1484/1000</f>
        <v>0</v>
      </c>
      <c r="J371" s="242">
        <f>SUM(E371,F371,G371,H371,I371)</f>
        <v>0</v>
      </c>
    </row>
    <row r="372" spans="1:14">
      <c r="D372" s="236" t="s">
        <v>291</v>
      </c>
      <c r="E372" s="242">
        <f>BDFE!$F$1851/1000</f>
        <v>0</v>
      </c>
      <c r="F372" s="242">
        <f>BDFE!$F$1924/1000</f>
        <v>0</v>
      </c>
      <c r="G372" s="242">
        <f>BDFE!$F$1705/1000</f>
        <v>0</v>
      </c>
      <c r="H372" s="242">
        <f>BDFE!$F$1559/1000</f>
        <v>0</v>
      </c>
      <c r="I372" s="242">
        <f>BDFE!$F$1486/1000</f>
        <v>0</v>
      </c>
      <c r="J372" s="242">
        <f>SUM(E372,F372,G372,H372,I372)</f>
        <v>0</v>
      </c>
    </row>
    <row r="373" spans="1:14" hidden="true">
      <c r="D373" s="236" t="s">
        <v>292</v>
      </c>
      <c r="E373" s="242">
        <f>BDFE!$F$1854/1000</f>
        <v>0</v>
      </c>
      <c r="F373" s="242">
        <f>BDFE!$F$1927/1000</f>
        <v>0</v>
      </c>
      <c r="G373" s="242">
        <f>BDFE!$F$1708/1000</f>
        <v>0</v>
      </c>
      <c r="H373" s="242">
        <f>BDFE!$F$1562/1000</f>
        <v>0</v>
      </c>
      <c r="I373" s="242">
        <f>BDFE!$F$1489/1000</f>
        <v>0</v>
      </c>
      <c r="J373" s="242">
        <f>SUM(E373,F373,G373,H373,I373)</f>
        <v>0</v>
      </c>
    </row>
    <row r="374" spans="1:14" hidden="true">
      <c r="D374" s="236" t="s">
        <v>293</v>
      </c>
      <c r="E374" s="242">
        <f>BDFE!$F$1855/1000</f>
        <v>0</v>
      </c>
      <c r="F374" s="242">
        <f>BDFE!$F$1928/1000</f>
        <v>0</v>
      </c>
      <c r="G374" s="242">
        <f>BDFE!$F$1709/1000</f>
        <v>0</v>
      </c>
      <c r="H374" s="242">
        <f>BDFE!$F$1563/1000</f>
        <v>0</v>
      </c>
      <c r="I374" s="242">
        <f>BDFE!$F$1490/1000</f>
        <v>0</v>
      </c>
      <c r="J374" s="242">
        <f>SUM(E374,F374,G374,H374,I374)</f>
        <v>0</v>
      </c>
    </row>
    <row r="375" spans="1:14">
      <c r="D375" s="236" t="s">
        <v>31</v>
      </c>
      <c r="E375" s="245">
        <f>(BDFE!F1834+BDFE!F1836+BDFE!F1838+BDFE!F1840+BDFE!F1842+BDFE!F1844+BDFE!F1846+BDFE!F1848+BDFE!F1850+BDFE!F1852-BDFE!F1796)/1000</f>
        <v>0</v>
      </c>
      <c r="F375" s="245">
        <f>(BDFE!F1907+BDFE!F1909+BDFE!F1911+BDFE!F1913+BDFE!F1915+BDFE!F1917+BDFE!F1919+BDFE!F1921+BDFE!F1923+BDFE!F1925-BDFE!F1869)/1000</f>
        <v>0</v>
      </c>
      <c r="G375" s="245">
        <f>(BDFE!F1688+BDFE!F1690+BDFE!F1692+BDFE!F1694+BDFE!F1696+BDFE!F1698+BDFE!F1700+BDFE!F1702+BDFE!F1704+BDFE!F1706-BDFE!F1650)/1000</f>
        <v>0</v>
      </c>
      <c r="H375" s="245">
        <f>(BDFE!F1542+BDFE!F1544+BDFE!F1546+BDFE!F1548+BDFE!F1550+BDFE!F1552+BDFE!F1554+BDFE!F1556+BDFE!F1558+BDFE!F1560-BDFE!F1504)/1000</f>
        <v>0</v>
      </c>
      <c r="I375" s="245">
        <f>(BDFE!F1469+BDFE!F1471+BDFE!F1473+BDFE!F1475+BDFE!F1477+BDFE!F1479+BDFE!F1481+BDFE!F1483+BDFE!F1485+BDFE!F1487-BDFE!F1431)/1000</f>
        <v>0</v>
      </c>
      <c r="J375" s="245">
        <f>SUM(E375,F375,G375,H375,I375)</f>
        <v>0</v>
      </c>
    </row>
    <row r="376" spans="1:14">
      <c r="D376" s="235" t="s">
        <v>294</v>
      </c>
      <c r="E376" s="239">
        <f>SUM(E363:E375)</f>
        <v>0</v>
      </c>
      <c r="F376" s="239">
        <f>SUM(F363:F375)</f>
        <v>0</v>
      </c>
      <c r="G376" s="239">
        <f>SUM(G363:G375)</f>
        <v>0</v>
      </c>
      <c r="H376" s="239">
        <f>SUM(H363:H375)</f>
        <v>0</v>
      </c>
      <c r="I376" s="239">
        <f>SUM(I363:I375)</f>
        <v>0</v>
      </c>
      <c r="J376" s="239">
        <f>SUM(J363:J375)</f>
        <v>0</v>
      </c>
    </row>
    <row r="377" spans="1:14">
      <c r="D377" s="236"/>
      <c r="E377" s="246"/>
      <c r="F377" s="246"/>
      <c r="G377" s="246"/>
      <c r="H377" s="249"/>
      <c r="I377" s="249"/>
      <c r="J377" s="249"/>
    </row>
    <row r="378" spans="1:14">
      <c r="D378" s="235" t="s">
        <v>295</v>
      </c>
      <c r="E378" s="247">
        <f>E341+E351+E360+E376</f>
        <v>-40.51625</v>
      </c>
      <c r="F378" s="247">
        <f>F341+F351+F360+F376</f>
        <v>2.55961</v>
      </c>
      <c r="G378" s="247">
        <f>G341+G351+G360+G376</f>
        <v>-365.90498</v>
      </c>
      <c r="H378" s="239">
        <f>H341+H351+H360+H376</f>
        <v>3.7278</v>
      </c>
      <c r="I378" s="239">
        <f>I341+I351+I360+I376</f>
        <v>-328.55053</v>
      </c>
      <c r="J378" s="239">
        <f>J341+J351+J360+J376</f>
        <v>-728.68435</v>
      </c>
    </row>
    <row r="379" spans="1:14">
      <c r="D379" s="237" t="s">
        <v>296</v>
      </c>
      <c r="E379" s="247">
        <f>BDBG!$I$1516/1000</f>
        <v>44.26026</v>
      </c>
      <c r="F379" s="247">
        <f>BDBG!$I$1570/1000</f>
        <v>-1.97164</v>
      </c>
      <c r="G379" s="247">
        <f>BDBG!$I$1408/1000</f>
        <v>418.21218</v>
      </c>
      <c r="H379" s="239">
        <f>BDBG!$I$1300/1000</f>
        <v>2.93181</v>
      </c>
      <c r="I379" s="239">
        <f>BDBG!$I$1246/1000</f>
        <v>368.30144</v>
      </c>
      <c r="J379" s="239">
        <f>SUM(E379,F379,G379,H379,I379)</f>
        <v>831.73405</v>
      </c>
    </row>
    <row r="380" spans="1:14">
      <c r="D380" s="237" t="s">
        <v>297</v>
      </c>
      <c r="E380" s="247">
        <f>E378+E379</f>
        <v>3.74401</v>
      </c>
      <c r="F380" s="247">
        <f>F378+F379</f>
        <v>0.58797</v>
      </c>
      <c r="G380" s="247">
        <f>G378+G379</f>
        <v>52.3072</v>
      </c>
      <c r="H380" s="247">
        <f>H378+H379</f>
        <v>6.65961</v>
      </c>
      <c r="I380" s="247">
        <f>I378+I379</f>
        <v>39.75091</v>
      </c>
      <c r="J380" s="247">
        <f>J378+J379</f>
        <v>103.0497</v>
      </c>
    </row>
    <row r="387" spans="1:14">
      <c r="C387" t="s">
        <v>311</v>
      </c>
      <c r="E387">
        <v>301</v>
      </c>
      <c r="F387">
        <v>303</v>
      </c>
      <c r="G387">
        <v>307</v>
      </c>
      <c r="H387">
        <v>305</v>
      </c>
      <c r="I387">
        <v>309</v>
      </c>
    </row>
    <row r="388" spans="1:14">
      <c r="D388" s="255"/>
      <c r="E388" s="238" t="s">
        <v>155</v>
      </c>
      <c r="F388" s="256"/>
      <c r="G388" s="256"/>
      <c r="H388" s="256"/>
      <c r="I388" s="256"/>
      <c r="J388" s="256"/>
    </row>
    <row r="389" spans="1:14">
      <c r="D389" s="255"/>
      <c r="E389" s="238" t="s">
        <v>74</v>
      </c>
      <c r="F389" s="235" t="s">
        <v>75</v>
      </c>
      <c r="G389" s="235" t="s">
        <v>76</v>
      </c>
      <c r="H389" s="238" t="s">
        <v>312</v>
      </c>
      <c r="I389" s="238" t="s">
        <v>80</v>
      </c>
      <c r="J389" s="238" t="s">
        <v>301</v>
      </c>
    </row>
    <row r="390" spans="1:14">
      <c r="D390" s="235" t="s">
        <v>264</v>
      </c>
      <c r="E390" s="239">
        <f>(BDFE!C728+BDFE!C717)/1000+ajustes!L15</f>
        <v>1423.8973</v>
      </c>
      <c r="F390" s="239">
        <f>(BDFE!C801+BDFE!C790)/1000+ajustes!M15</f>
        <v>3170.92914</v>
      </c>
      <c r="G390" s="239">
        <f>(BDFE!C947+BDFE!C936)/1000+ajustes!N15</f>
        <v>-1602.80608</v>
      </c>
      <c r="H390" s="239">
        <f>(BDFE!C874+BDFE!C863)/1000+ajustes!O15</f>
        <v>2741.64333</v>
      </c>
      <c r="I390" s="239">
        <f>(BDFE!C1020+BDFE!C1009)/1000+ajustes!R15</f>
        <v>2831.05248</v>
      </c>
      <c r="J390" s="239">
        <f>SUM(E390,F390,G390,H390,I390)</f>
        <v>8564.71617</v>
      </c>
    </row>
    <row r="391" spans="1:14">
      <c r="D391" s="236"/>
      <c r="E391" s="240"/>
      <c r="F391" s="240"/>
      <c r="G391" s="240"/>
      <c r="H391" s="240"/>
      <c r="I391" s="240"/>
      <c r="J391" s="240"/>
    </row>
    <row r="392" spans="1:14">
      <c r="D392" s="235" t="s">
        <v>265</v>
      </c>
      <c r="E392" s="240"/>
      <c r="F392" s="240"/>
      <c r="G392" s="240"/>
      <c r="H392" s="240"/>
      <c r="I392" s="240"/>
      <c r="J392" s="240"/>
    </row>
    <row r="393" spans="1:14">
      <c r="D393" s="236" t="s">
        <v>266</v>
      </c>
      <c r="E393" s="257">
        <f>BDFE!$C$731/1000</f>
        <v>-2247.22284</v>
      </c>
      <c r="F393" s="257">
        <f>BDFE!$C$804/1000</f>
        <v>-134.49649</v>
      </c>
      <c r="G393" s="257">
        <f>BDFE!$C$950/1000</f>
        <v>444.71898</v>
      </c>
      <c r="H393" s="257">
        <f>BDFE!$C$877/1000</f>
        <v>36.32987</v>
      </c>
      <c r="I393" s="257">
        <f>BDFE!$C$1023/1000</f>
        <v>-3608.4505</v>
      </c>
      <c r="J393" s="257">
        <f>SUM(E393,F393,G393,H393,I393)</f>
        <v>-5509.12098</v>
      </c>
    </row>
    <row r="394" spans="1:14">
      <c r="D394" s="236" t="s">
        <v>267</v>
      </c>
      <c r="E394" s="258">
        <f>(BDFE!C732+BDFE!C733)/1000</f>
        <v>-14840.14676</v>
      </c>
      <c r="F394" s="258">
        <f>(BDFE!C805+BDFE!C806)/1000</f>
        <v>-203.53051</v>
      </c>
      <c r="G394" s="258">
        <f>(BDFE!C951+BDFE!C952)/1000</f>
        <v>121.45003</v>
      </c>
      <c r="H394" s="258">
        <f>(BDFE!C878+BDFE!C879)/1000</f>
        <v>-147.83106</v>
      </c>
      <c r="I394" s="258">
        <f>(BDFE!C1024+BDFE!C1025)/1000</f>
        <v>-593.9278</v>
      </c>
      <c r="J394" s="258">
        <f>SUM(E394,F394,G394,H394,I394)</f>
        <v>-15663.9861</v>
      </c>
    </row>
    <row r="395" spans="1:14">
      <c r="D395" s="236" t="s">
        <v>268</v>
      </c>
      <c r="E395" s="258">
        <f>BDFE!$C$734/1000</f>
        <v>-1126.49551</v>
      </c>
      <c r="F395" s="258">
        <f>BDFE!$C$807/1000</f>
        <v>-1581.05295</v>
      </c>
      <c r="G395" s="258">
        <f>BDFE!$C$953/1000</f>
        <v>-2748.16523</v>
      </c>
      <c r="H395" s="258">
        <f>BDFE!$C$880/1000</f>
        <v>-838.23019</v>
      </c>
      <c r="I395" s="258">
        <f>BDFE!$C$1026/1000</f>
        <v>-497.02979</v>
      </c>
      <c r="J395" s="258">
        <f>SUM(E395,F395,G395,H395,I395)</f>
        <v>-6790.97367</v>
      </c>
    </row>
    <row r="396" spans="1:14">
      <c r="D396" s="236" t="s">
        <v>269</v>
      </c>
      <c r="E396" s="258">
        <f>(BDFE!C735+BDFE!C736)/1000</f>
        <v>-1269.89655</v>
      </c>
      <c r="F396" s="258">
        <f>(BDFE!C808+BDFE!C809)/1000</f>
        <v>782.52931</v>
      </c>
      <c r="G396" s="258">
        <f>(BDFE!C954+BDFE!C955)/1000</f>
        <v>-501.51512</v>
      </c>
      <c r="H396" s="258">
        <f>(BDFE!C881+BDFE!C882)/1000</f>
        <v>-130.48656</v>
      </c>
      <c r="I396" s="258">
        <f>(BDFE!C1027+BDFE!C1028)/1000</f>
        <v>9732.69798</v>
      </c>
      <c r="J396" s="258">
        <f>SUM(E396,F396,G396,H396,I396)</f>
        <v>8613.32906</v>
      </c>
    </row>
    <row r="397" spans="1:14">
      <c r="D397" s="236" t="s">
        <v>270</v>
      </c>
      <c r="E397" s="258">
        <f>BDFE!$C$737/1000</f>
        <v>7200.36389</v>
      </c>
      <c r="F397" s="258">
        <f>BDFE!$C$810/1000</f>
        <v>645.6688</v>
      </c>
      <c r="G397" s="258">
        <f>BDFE!$C$956/1000</f>
        <v>4720.14836</v>
      </c>
      <c r="H397" s="258">
        <f>BDFE!$C$883/1000</f>
        <v>449.43113</v>
      </c>
      <c r="I397" s="258">
        <f>BDFE!$C$1029/1000</f>
        <v>-4555.55026</v>
      </c>
      <c r="J397" s="258">
        <f>SUM(E397,F397,G397,H397,I397)</f>
        <v>8460.06192</v>
      </c>
    </row>
    <row r="398" spans="1:14">
      <c r="D398" s="236" t="s">
        <v>271</v>
      </c>
      <c r="E398" s="258">
        <f>(BDFE!C738+BDFE!C739)/1000</f>
        <v>9424.40866</v>
      </c>
      <c r="F398" s="258">
        <f>(BDFE!C811+BDFE!C812)/1000</f>
        <v>121.78854</v>
      </c>
      <c r="G398" s="258">
        <f>(BDFE!C957+BDFE!C958)/1000</f>
        <v>-311.35828</v>
      </c>
      <c r="H398" s="258">
        <f>(BDFE!C884+BDFE!C885)/1000</f>
        <v>0</v>
      </c>
      <c r="I398" s="258">
        <f>(BDFE!C1030+BDFE!C1031)/1000</f>
        <v>-252.19422</v>
      </c>
      <c r="J398" s="258">
        <f>SUM(E398,F398,G398,H398,I398)</f>
        <v>8982.6447</v>
      </c>
    </row>
    <row r="399" spans="1:14">
      <c r="D399" s="236" t="s">
        <v>272</v>
      </c>
      <c r="E399" s="258">
        <f>(BDFE!C740+BDFE!C741+BDFE!C742)/1000</f>
        <v>957.78979</v>
      </c>
      <c r="F399" s="258">
        <f>(BDFE!C813+BDFE!C814+BDFE!C815)/1000</f>
        <v>33.6804</v>
      </c>
      <c r="G399" s="258">
        <f>(BDFE!C959+BDFE!C960+BDFE!C961)/1000</f>
        <v>-54.21908</v>
      </c>
      <c r="H399" s="258">
        <f>(BDFE!C886+BDFE!C887+BDFE!C888)/1000</f>
        <v>-493.23267</v>
      </c>
      <c r="I399" s="258">
        <f>(BDFE!C1032+BDFE!C1033+BDFE!C1034)/1000</f>
        <v>7.67637</v>
      </c>
      <c r="J399" s="258">
        <f>SUM(E399,F399,G399,H399,I399)</f>
        <v>451.69481</v>
      </c>
    </row>
    <row r="400" spans="1:14">
      <c r="D400" s="235" t="s">
        <v>265</v>
      </c>
      <c r="E400" s="259">
        <f>SUM(E393:E399)</f>
        <v>-1901.19932</v>
      </c>
      <c r="F400" s="259">
        <f>SUM(F393:F399)</f>
        <v>-335.4129</v>
      </c>
      <c r="G400" s="259">
        <f>SUM(G393:G399)</f>
        <v>1671.05966</v>
      </c>
      <c r="H400" s="259">
        <f>SUM(H393:H399)</f>
        <v>-1124.01948</v>
      </c>
      <c r="I400" s="259">
        <f>SUM(I393:I399)</f>
        <v>233.22178</v>
      </c>
      <c r="J400" s="259">
        <f>SUM(J393:J399)</f>
        <v>-1456.35026</v>
      </c>
    </row>
    <row r="401" spans="1:14">
      <c r="D401" s="236"/>
      <c r="E401" s="243"/>
      <c r="F401" s="243"/>
      <c r="G401" s="243"/>
      <c r="H401" s="243"/>
      <c r="I401" s="243"/>
      <c r="J401" s="243"/>
    </row>
    <row r="402" spans="1:14">
      <c r="D402" s="235" t="s">
        <v>273</v>
      </c>
      <c r="E402" s="240"/>
      <c r="F402" s="240"/>
      <c r="G402" s="240"/>
      <c r="H402" s="240"/>
      <c r="I402" s="240"/>
      <c r="J402" s="240"/>
    </row>
    <row r="403" spans="1:14">
      <c r="D403" s="236" t="s">
        <v>274</v>
      </c>
      <c r="E403" s="241">
        <f>BDFE!$C$745/1000</f>
        <v>0</v>
      </c>
      <c r="F403" s="241">
        <f>BDFE!$C$818/1000</f>
        <v>0</v>
      </c>
      <c r="G403" s="241">
        <f>BDFE!$C$964/1000</f>
        <v>0</v>
      </c>
      <c r="H403" s="241">
        <f>BDFE!$C$891/1000</f>
        <v>0</v>
      </c>
      <c r="I403" s="241">
        <f>BDFE!$C$1037/1000</f>
        <v>-436.34719</v>
      </c>
      <c r="J403" s="241">
        <f>SUM(E403,F403,G403,H403,I403)</f>
        <v>-436.34719</v>
      </c>
    </row>
    <row r="404" spans="1:14">
      <c r="D404" s="236" t="s">
        <v>275</v>
      </c>
      <c r="E404" s="242">
        <f>BDFE!$C$746/1000</f>
        <v>0</v>
      </c>
      <c r="F404" s="242">
        <f>BDFE!$C$819/1000</f>
        <v>0</v>
      </c>
      <c r="G404" s="242">
        <f>BDFE!$C$965/1000</f>
        <v>0</v>
      </c>
      <c r="H404" s="242">
        <f>BDFE!$C$892/1000</f>
        <v>69</v>
      </c>
      <c r="I404" s="242">
        <f>BDFE!$C$1038/1000</f>
        <v>0</v>
      </c>
      <c r="J404" s="242">
        <f>SUM(E404,F404,G404,H404,I404)</f>
        <v>69</v>
      </c>
    </row>
    <row r="405" spans="1:14">
      <c r="D405" s="236" t="s">
        <v>276</v>
      </c>
      <c r="E405" s="242">
        <f>BDFE!$C$747/1000</f>
        <v>0</v>
      </c>
      <c r="F405" s="242">
        <f>BDFE!$C$820/1000</f>
        <v>0</v>
      </c>
      <c r="G405" s="242">
        <f>BDFE!$C$966/1000</f>
        <v>0</v>
      </c>
      <c r="H405" s="242">
        <f>BDFE!$C$893/1000</f>
        <v>0</v>
      </c>
      <c r="I405" s="242">
        <f>BDFE!$C$1039/1000</f>
        <v>0</v>
      </c>
      <c r="J405" s="242">
        <f>SUM(E405,F405,G405,H405,I405)</f>
        <v>0</v>
      </c>
    </row>
    <row r="406" spans="1:14">
      <c r="D406" s="236" t="s">
        <v>277</v>
      </c>
      <c r="E406" s="242">
        <f>BDFE!$C$748/1000</f>
        <v>0</v>
      </c>
      <c r="F406" s="242">
        <f>BDFE!$C$821/1000</f>
        <v>0</v>
      </c>
      <c r="G406" s="242">
        <f>BDFE!$C$967/1000</f>
        <v>0</v>
      </c>
      <c r="H406" s="242">
        <f>BDFE!$C$894/1000</f>
        <v>0</v>
      </c>
      <c r="I406" s="242">
        <f>BDFE!$C$1040/1000</f>
        <v>0</v>
      </c>
      <c r="J406" s="242">
        <f>SUM(E406,F406,G406,H406,I406)</f>
        <v>0</v>
      </c>
    </row>
    <row r="407" spans="1:14">
      <c r="D407" s="236" t="s">
        <v>278</v>
      </c>
      <c r="E407" s="242">
        <f>(BDFE!C749+BDFE!C750)/1000</f>
        <v>0</v>
      </c>
      <c r="F407" s="242">
        <f>(BDFE!C822+BDFE!C823)/1000</f>
        <v>0</v>
      </c>
      <c r="G407" s="242">
        <f>(BDFE!C968+BDFE!C969)/1000</f>
        <v>0</v>
      </c>
      <c r="H407" s="242">
        <f>(BDFE!C895+BDFE!C896)/1000</f>
        <v>0</v>
      </c>
      <c r="I407" s="242">
        <f>(BDFE!C1041+BDFE!C1042)/1000</f>
        <v>0</v>
      </c>
      <c r="J407" s="242">
        <f>SUM(E407,F407,G407,H407,I407)</f>
        <v>0</v>
      </c>
    </row>
    <row r="408" spans="1:14">
      <c r="D408" s="236" t="s">
        <v>279</v>
      </c>
      <c r="E408" s="242">
        <f>BDFE!$C$751/1000</f>
        <v>0</v>
      </c>
      <c r="F408" s="242">
        <f>BDFE!$C$824/1000</f>
        <v>0</v>
      </c>
      <c r="G408" s="242">
        <f>BDFE!$C$970/1000</f>
        <v>0</v>
      </c>
      <c r="H408" s="242">
        <f>BDFE!$C$897/1000</f>
        <v>0</v>
      </c>
      <c r="I408" s="242">
        <f>BDFE!$C$1043/1000</f>
        <v>0</v>
      </c>
      <c r="J408" s="242">
        <f>SUM(E408,F408,G408,H408,I408)</f>
        <v>0</v>
      </c>
    </row>
    <row r="409" spans="1:14">
      <c r="D409" s="235" t="s">
        <v>280</v>
      </c>
      <c r="E409" s="239">
        <f>SUM(E403:E408)</f>
        <v>0</v>
      </c>
      <c r="F409" s="239">
        <f>SUM(F403:F408)</f>
        <v>0</v>
      </c>
      <c r="G409" s="239">
        <f>SUM(G403:G408)</f>
        <v>0</v>
      </c>
      <c r="H409" s="239">
        <f>SUM(H403:H408)</f>
        <v>69</v>
      </c>
      <c r="I409" s="239">
        <f>SUM(I403:I408)</f>
        <v>-436.34719</v>
      </c>
      <c r="J409" s="239">
        <f>SUM(J403:J408)</f>
        <v>-367.34719</v>
      </c>
    </row>
    <row r="410" spans="1:14">
      <c r="D410" s="235"/>
      <c r="E410" s="244"/>
      <c r="F410" s="244"/>
      <c r="G410" s="244"/>
      <c r="H410" s="244"/>
      <c r="I410" s="244"/>
      <c r="J410" s="244"/>
    </row>
    <row r="411" spans="1:14">
      <c r="D411" s="235" t="s">
        <v>281</v>
      </c>
      <c r="E411" s="240"/>
      <c r="F411" s="240"/>
      <c r="G411" s="240"/>
      <c r="H411" s="240"/>
      <c r="I411" s="240"/>
      <c r="J411" s="240"/>
    </row>
    <row r="412" spans="1:14">
      <c r="D412" s="236" t="s">
        <v>282</v>
      </c>
      <c r="E412" s="241">
        <f>BDFE!$C$754/1000</f>
        <v>0</v>
      </c>
      <c r="F412" s="241">
        <f>BDFE!$C$827/1000</f>
        <v>0</v>
      </c>
      <c r="G412" s="241">
        <f>BDFE!$C$973/1000</f>
        <v>0</v>
      </c>
      <c r="H412" s="241">
        <f>BDFE!$C$900/1000</f>
        <v>0</v>
      </c>
      <c r="I412" s="241">
        <f>BDFE!$C$1046/1000</f>
        <v>0</v>
      </c>
      <c r="J412" s="241">
        <f>SUM(E412,F412,G412,H412,I412)</f>
        <v>0</v>
      </c>
    </row>
    <row r="413" spans="1:14">
      <c r="D413" s="236" t="s">
        <v>283</v>
      </c>
      <c r="E413" s="242">
        <f>BDFE!$C$756/1000</f>
        <v>-438.12434</v>
      </c>
      <c r="F413" s="242">
        <f>BDFE!$C$829/1000</f>
        <v>-392.08362</v>
      </c>
      <c r="G413" s="242">
        <f>BDFE!$C$975/1000</f>
        <v>-11.58103</v>
      </c>
      <c r="H413" s="242">
        <f>BDFE!$C$902/1000</f>
        <v>-25.24056</v>
      </c>
      <c r="I413" s="242">
        <f>BDFE!$C$1048/1000</f>
        <v>0</v>
      </c>
      <c r="J413" s="242">
        <f>SUM(E413,F413,G413,H413,I413)</f>
        <v>-867.02955</v>
      </c>
    </row>
    <row r="414" spans="1:14">
      <c r="D414" s="236" t="s">
        <v>284</v>
      </c>
      <c r="E414" s="242">
        <f>BDFE!$C$758/1000</f>
        <v>0</v>
      </c>
      <c r="F414" s="242">
        <f>BDFE!$C$831/1000</f>
        <v>-50</v>
      </c>
      <c r="G414" s="242">
        <f>BDFE!$C$977/1000</f>
        <v>-16.433</v>
      </c>
      <c r="H414" s="242">
        <f>BDFE!$C$904/1000</f>
        <v>0</v>
      </c>
      <c r="I414" s="242">
        <f>BDFE!$C$1050/1000</f>
        <v>399.05172</v>
      </c>
      <c r="J414" s="242">
        <f>SUM(E414,F414,G414,H414,I414)</f>
        <v>332.61872</v>
      </c>
    </row>
    <row r="415" spans="1:14">
      <c r="D415" s="236" t="s">
        <v>285</v>
      </c>
      <c r="E415" s="242">
        <f>BDFE!$C$760/1000</f>
        <v>0</v>
      </c>
      <c r="F415" s="242">
        <f>BDFE!$C$833/1000</f>
        <v>0</v>
      </c>
      <c r="G415" s="242">
        <f>BDFE!$C$979/1000</f>
        <v>0</v>
      </c>
      <c r="H415" s="242">
        <f>BDFE!$C$906/1000</f>
        <v>0</v>
      </c>
      <c r="I415" s="242">
        <f>BDFE!$C$1052/1000</f>
        <v>0</v>
      </c>
      <c r="J415" s="242">
        <f>SUM(E415,F415,G415,H415,I415)</f>
        <v>0</v>
      </c>
    </row>
    <row r="416" spans="1:14">
      <c r="D416" s="236" t="s">
        <v>286</v>
      </c>
      <c r="E416" s="242">
        <f>BDFE!$C$762/1000</f>
        <v>0</v>
      </c>
      <c r="F416" s="242">
        <f>BDFE!$C$835/1000</f>
        <v>0</v>
      </c>
      <c r="G416" s="242">
        <f>BDFE!$C$981/1000</f>
        <v>-9.98475</v>
      </c>
      <c r="H416" s="242">
        <f>BDFE!$C$908/1000</f>
        <v>0</v>
      </c>
      <c r="I416" s="242">
        <f>BDFE!$C$1054/1000</f>
        <v>0</v>
      </c>
      <c r="J416" s="242">
        <f>SUM(E416,F416,G416,H416,I416)</f>
        <v>-9.98475</v>
      </c>
    </row>
    <row r="417" spans="1:14">
      <c r="D417" s="236" t="s">
        <v>287</v>
      </c>
      <c r="E417" s="242">
        <f>BDFE!$C$764/1000</f>
        <v>0</v>
      </c>
      <c r="F417" s="242">
        <f>BDFE!$C$837/1000</f>
        <v>0</v>
      </c>
      <c r="G417" s="242">
        <f>BDFE!$C$983/1000</f>
        <v>0</v>
      </c>
      <c r="H417" s="242">
        <f>BDFE!$C$910/1000</f>
        <v>0</v>
      </c>
      <c r="I417" s="242">
        <f>BDFE!$C$1056/1000</f>
        <v>0</v>
      </c>
      <c r="J417" s="242">
        <f>SUM(E417,F417,G417,H417,I417)</f>
        <v>0</v>
      </c>
    </row>
    <row r="418" spans="1:14" hidden="true">
      <c r="D418" s="236" t="s">
        <v>288</v>
      </c>
      <c r="E418" s="242">
        <f>BDFE!$C$766/1000</f>
        <v>0</v>
      </c>
      <c r="F418" s="242">
        <f>BDFE!$C$839/1000</f>
        <v>0</v>
      </c>
      <c r="G418" s="242">
        <f>BDFE!$C$985/1000</f>
        <v>0</v>
      </c>
      <c r="H418" s="242">
        <f>BDFE!$C$912/1000</f>
        <v>0</v>
      </c>
      <c r="I418" s="242">
        <f>BDFE!$C$1058/1000</f>
        <v>0</v>
      </c>
      <c r="J418" s="242">
        <f>SUM(E418,F418,G418,H418,I418)</f>
        <v>0</v>
      </c>
    </row>
    <row r="419" spans="1:14" hidden="true">
      <c r="D419" s="236" t="s">
        <v>289</v>
      </c>
      <c r="E419" s="242">
        <f>BDFE!$C$768/1000</f>
        <v>0</v>
      </c>
      <c r="F419" s="242">
        <f>BDFE!$C$841/1000</f>
        <v>0</v>
      </c>
      <c r="G419" s="242">
        <f>BDFE!$C$987/1000</f>
        <v>0</v>
      </c>
      <c r="H419" s="242">
        <f>BDFE!$C$914/1000</f>
        <v>0</v>
      </c>
      <c r="I419" s="242">
        <f>BDFE!$C$1060/1000</f>
        <v>0</v>
      </c>
      <c r="J419" s="242">
        <f>SUM(E419,F419,G419,H419,I419)</f>
        <v>0</v>
      </c>
    </row>
    <row r="420" spans="1:14" hidden="true">
      <c r="D420" s="236" t="s">
        <v>290</v>
      </c>
      <c r="E420" s="242">
        <f>BDFE!$C$770/1000</f>
        <v>0</v>
      </c>
      <c r="F420" s="242">
        <f>BDFE!$C$843/1000</f>
        <v>0</v>
      </c>
      <c r="G420" s="242">
        <f>BDFE!$C$989/1000</f>
        <v>0</v>
      </c>
      <c r="H420" s="242">
        <f>BDFE!$C$916/1000</f>
        <v>0</v>
      </c>
      <c r="I420" s="242">
        <f>BDFE!$C$1062/1000</f>
        <v>0</v>
      </c>
      <c r="J420" s="242">
        <f>SUM(E420,F420,G420,H420,I420)</f>
        <v>0</v>
      </c>
    </row>
    <row r="421" spans="1:14" hidden="true">
      <c r="D421" s="236" t="s">
        <v>291</v>
      </c>
      <c r="E421" s="242">
        <f>BDFE!$C$772/1000</f>
        <v>0</v>
      </c>
      <c r="F421" s="242">
        <f>BDFE!$C$845/1000</f>
        <v>0</v>
      </c>
      <c r="G421" s="242">
        <f>BDFE!$C$991/1000</f>
        <v>0</v>
      </c>
      <c r="H421" s="242">
        <f>BDFE!$C$918/1000</f>
        <v>0</v>
      </c>
      <c r="I421" s="242">
        <f>BDFE!$C$1064/1000</f>
        <v>0</v>
      </c>
      <c r="J421" s="242">
        <f>SUM(E421,F421,G421,H421,I421)</f>
        <v>0</v>
      </c>
    </row>
    <row r="422" spans="1:14" hidden="true">
      <c r="D422" s="236" t="s">
        <v>292</v>
      </c>
      <c r="E422" s="242">
        <f>BDFE!$C$775/1000</f>
        <v>0</v>
      </c>
      <c r="F422" s="242">
        <f>BDFE!$C$848/1000</f>
        <v>0</v>
      </c>
      <c r="G422" s="242">
        <f>BDFE!$C$994/1000</f>
        <v>0</v>
      </c>
      <c r="H422" s="242">
        <f>BDFE!$C$921/1000</f>
        <v>0</v>
      </c>
      <c r="I422" s="242">
        <f>BDFE!$C$1067/1000</f>
        <v>0</v>
      </c>
      <c r="J422" s="242">
        <f>SUM(E422,F422,G422,H422,I422)</f>
        <v>0</v>
      </c>
    </row>
    <row r="423" spans="1:14" hidden="true">
      <c r="D423" s="236" t="s">
        <v>293</v>
      </c>
      <c r="E423" s="242">
        <f>BDFE!$C$776/1000</f>
        <v>0</v>
      </c>
      <c r="F423" s="242">
        <f>BDFE!$C$849/1000</f>
        <v>0</v>
      </c>
      <c r="G423" s="242">
        <f>BDFE!$C$995/1000</f>
        <v>0</v>
      </c>
      <c r="H423" s="242">
        <f>BDFE!$C$922/1000</f>
        <v>0</v>
      </c>
      <c r="I423" s="242">
        <f>BDFE!$C$1068/1000</f>
        <v>0</v>
      </c>
      <c r="J423" s="242">
        <f>SUM(E423,F423,G423,H423,I423)</f>
        <v>0</v>
      </c>
    </row>
    <row r="424" spans="1:14">
      <c r="D424" s="236" t="s">
        <v>313</v>
      </c>
      <c r="E424" s="242">
        <f>BDFE!$C$774/1000</f>
        <v>0</v>
      </c>
      <c r="F424" s="242">
        <f>BDFE!$C$847/1000</f>
        <v>0</v>
      </c>
      <c r="G424" s="242">
        <f>BDFE!$C$993/1000</f>
        <v>0</v>
      </c>
      <c r="H424" s="242">
        <f>BDFE!$C$920/1000</f>
        <v>0</v>
      </c>
      <c r="I424" s="242">
        <f>BDFE!$C$1066/1000</f>
        <v>0</v>
      </c>
      <c r="J424" s="242">
        <f>SUM(E424,F424,G424,H424,I424)</f>
        <v>0</v>
      </c>
    </row>
    <row r="425" spans="1:14" hidden="true">
      <c r="D425" s="236" t="s">
        <v>314</v>
      </c>
      <c r="E425" s="242">
        <f>BDFE!$C$777/1000</f>
        <v>0</v>
      </c>
      <c r="F425" s="242">
        <f>BDFE!$C$850/1000</f>
        <v>0</v>
      </c>
      <c r="G425" s="242">
        <f>BDFE!$C$996/1000</f>
        <v>0</v>
      </c>
      <c r="H425" s="242">
        <f>BDFE!$C$923/1000</f>
        <v>0</v>
      </c>
      <c r="I425" s="242">
        <f>BDFE!$C$1069/1000</f>
        <v>0</v>
      </c>
      <c r="J425" s="242">
        <f>SUM(E425,F425,G425,H425,I425)</f>
        <v>0</v>
      </c>
    </row>
    <row r="426" spans="1:14">
      <c r="D426" s="236" t="s">
        <v>31</v>
      </c>
      <c r="E426" s="245">
        <f>(BDFE!C755+BDFE!C757+BDFE!C759+BDFE!C761+BDFE!C763+BDFE!C765+BDFE!C767+BDFE!C769+BDFE!C771+BDFE!C773-BDFE!C717)/1000</f>
        <v>-5.8207660913467E-14</v>
      </c>
      <c r="F426" s="245">
        <f>(BDFE!C828+BDFE!C830+BDFE!C832+BDFE!C834+BDFE!C836+BDFE!C838+BDFE!C840+BDFE!C842+BDFE!C844+BDFE!C846-BDFE!C790)/1000</f>
        <v>0</v>
      </c>
      <c r="G426" s="245">
        <f>(BDFE!C974+BDFE!C976+BDFE!C978+BDFE!C980+BDFE!C982+BDFE!C984+BDFE!C986+BDFE!C988+BDFE!C990+BDFE!C992-BDFE!C936)/1000</f>
        <v>2.9103830456734E-14</v>
      </c>
      <c r="H426" s="245">
        <f>(BDFE!C901+BDFE!C903+BDFE!C905+BDFE!C907+BDFE!C909+BDFE!C911+BDFE!C913+BDFE!C915+BDFE!C917+BDFE!C919-BDFE!C863)/1000</f>
        <v>0</v>
      </c>
      <c r="I426" s="245">
        <f>(BDFE!C1047+BDFE!C1049+BDFE!C1051+BDFE!C1053+BDFE!C1055+BDFE!C1057+BDFE!C1059+BDFE!C1061+BDFE!C1063+BDFE!C1065-BDFE!C1009)/1000</f>
        <v>-255.3931</v>
      </c>
      <c r="J426" s="245">
        <f>SUM(E426,F426,G426,H426,I426)</f>
        <v>-255.3931</v>
      </c>
    </row>
    <row r="427" spans="1:14">
      <c r="D427" s="235" t="s">
        <v>294</v>
      </c>
      <c r="E427" s="247">
        <f>SUM(E412:E426)</f>
        <v>-438.12434</v>
      </c>
      <c r="F427" s="247">
        <f>SUM(F412:F426)</f>
        <v>-442.08362</v>
      </c>
      <c r="G427" s="247">
        <f>SUM(G412:G426)</f>
        <v>-37.99878</v>
      </c>
      <c r="H427" s="247">
        <f>SUM(H412:H426)</f>
        <v>-25.24056</v>
      </c>
      <c r="I427" s="247">
        <f>SUM(I412:I426)</f>
        <v>143.65862</v>
      </c>
      <c r="J427" s="247">
        <f>SUM(J412:J426)</f>
        <v>-799.78868</v>
      </c>
    </row>
    <row r="428" spans="1:14">
      <c r="D428" s="235" t="s">
        <v>157</v>
      </c>
      <c r="E428" s="20">
        <f>-ajustes!L15</f>
        <v>0</v>
      </c>
      <c r="F428" s="20">
        <f>-ajustes!M15</f>
        <v>0</v>
      </c>
      <c r="G428" s="20">
        <f>-ajustes!N15</f>
        <v>0</v>
      </c>
      <c r="H428" s="20">
        <f>-ajustes!O15</f>
        <v>0</v>
      </c>
      <c r="I428" s="20">
        <f>-ajustes!R15</f>
        <v>0</v>
      </c>
      <c r="J428" s="20">
        <f>SUM(E428:I428)</f>
        <v>0</v>
      </c>
    </row>
    <row r="429" spans="1:14">
      <c r="D429" s="255"/>
      <c r="E429" s="255"/>
      <c r="F429" s="255"/>
      <c r="G429" s="255"/>
      <c r="H429" s="255"/>
      <c r="I429" s="255"/>
      <c r="J429" s="255"/>
    </row>
    <row r="430" spans="1:14">
      <c r="D430" s="235" t="s">
        <v>295</v>
      </c>
      <c r="E430" s="239">
        <f>E390+E400+E409+E427+E428</f>
        <v>-915.42636</v>
      </c>
      <c r="F430" s="239">
        <f>F390+F400+F409+F427+F428</f>
        <v>2393.43262</v>
      </c>
      <c r="G430" s="239">
        <f>G390+G400+G409+G427+G428</f>
        <v>30.2548</v>
      </c>
      <c r="H430" s="239">
        <f>H390+H400+H409+H427+H428</f>
        <v>1661.38329</v>
      </c>
      <c r="I430" s="239">
        <f>I390+I400+I409+I427+I428</f>
        <v>2771.58569</v>
      </c>
      <c r="J430" s="239">
        <f>J390+J400+J409+J427+J428</f>
        <v>5941.23004</v>
      </c>
    </row>
    <row r="431" spans="1:14">
      <c r="D431" s="235" t="s">
        <v>296</v>
      </c>
      <c r="E431" s="239">
        <f>(BDBG!$H$705+BDBG!$H$706)/1000</f>
        <v>7845.27425</v>
      </c>
      <c r="F431" s="239">
        <f>(BDBG!$H$759+BDBG!$H$760)/1000</f>
        <v>2594.25723</v>
      </c>
      <c r="G431" s="239">
        <f>(BDBG!$H$868+BDBG!$H$869)/1000</f>
        <v>1319.24886</v>
      </c>
      <c r="H431" s="239">
        <f>(BDBG!$H$814+BDBG!$H$815)/1000</f>
        <v>34769.61359</v>
      </c>
      <c r="I431" s="239">
        <f>BDBG!$H$922/1000</f>
        <v>2563.16353</v>
      </c>
      <c r="J431" s="239">
        <f>SUM(E431,F431,G431,H431,I431)</f>
        <v>49091.55746</v>
      </c>
    </row>
    <row r="432" spans="1:14">
      <c r="D432" s="235" t="s">
        <v>297</v>
      </c>
      <c r="E432" s="239">
        <f>E430+E431</f>
        <v>6929.84789</v>
      </c>
      <c r="F432" s="239">
        <f>F430+F431</f>
        <v>4987.68985</v>
      </c>
      <c r="G432" s="239">
        <f>G430+G431</f>
        <v>1349.50366</v>
      </c>
      <c r="H432" s="239">
        <f>H430+H431</f>
        <v>36430.99688</v>
      </c>
      <c r="I432" s="239">
        <f>I430+I431</f>
        <v>5334.74922</v>
      </c>
      <c r="J432" s="239">
        <f>J430+J431</f>
        <v>55032.7875</v>
      </c>
    </row>
    <row r="439" spans="1:14">
      <c r="D439" s="260"/>
      <c r="E439" s="261" t="s">
        <v>315</v>
      </c>
      <c r="F439" s="255"/>
      <c r="G439" s="255"/>
      <c r="H439" s="255"/>
      <c r="I439" s="255"/>
      <c r="J439" s="255"/>
    </row>
    <row r="440" spans="1:14">
      <c r="D440" s="262"/>
      <c r="E440" s="238" t="s">
        <v>74</v>
      </c>
      <c r="F440" s="235" t="s">
        <v>75</v>
      </c>
      <c r="G440" s="235" t="s">
        <v>76</v>
      </c>
      <c r="H440" s="238" t="s">
        <v>312</v>
      </c>
      <c r="I440" s="238" t="s">
        <v>80</v>
      </c>
      <c r="J440" s="238" t="s">
        <v>301</v>
      </c>
    </row>
    <row r="441" spans="1:14">
      <c r="D441" s="263" t="s">
        <v>264</v>
      </c>
      <c r="E441" s="239">
        <f>(BDFE!F728+BDFE!F717)/1000+ajustes!L30</f>
        <v>1423.8973</v>
      </c>
      <c r="F441" s="239">
        <f>(BDFE!F801+BDFE!F790)/1000+ajustes!M30</f>
        <v>3170.92914</v>
      </c>
      <c r="G441" s="239">
        <f>(BDFE!F947+BDFE!F936)/1000+ajustes!N30</f>
        <v>-1602.80608</v>
      </c>
      <c r="H441" s="239">
        <f>(BDFE!F874+BDFE!F863)/1000+ajustes!O30</f>
        <v>2741.64333</v>
      </c>
      <c r="I441" s="239">
        <f>(BDFE!F1020+BDFE!F1009)/1000+ajustes!R30</f>
        <v>2831.05248</v>
      </c>
      <c r="J441" s="239">
        <f>SUM(E441,F441,G441,H441,I441)</f>
        <v>8564.71617</v>
      </c>
    </row>
    <row r="442" spans="1:14">
      <c r="D442" s="243"/>
      <c r="E442" s="240"/>
      <c r="F442" s="240"/>
      <c r="G442" s="240"/>
      <c r="H442" s="240"/>
      <c r="I442" s="240"/>
      <c r="J442" s="240"/>
    </row>
    <row r="443" spans="1:14">
      <c r="D443" s="243" t="s">
        <v>265</v>
      </c>
      <c r="E443" s="240"/>
      <c r="F443" s="240"/>
      <c r="G443" s="240"/>
      <c r="H443" s="240"/>
      <c r="I443" s="240"/>
      <c r="J443" s="240"/>
    </row>
    <row r="444" spans="1:14">
      <c r="D444" s="264" t="s">
        <v>266</v>
      </c>
      <c r="E444" s="241">
        <f>BDFE!$F$731/1000</f>
        <v>-2247.22284</v>
      </c>
      <c r="F444" s="241">
        <f>BDFE!$F$804/1000</f>
        <v>-134.49649</v>
      </c>
      <c r="G444" s="241">
        <f>BDFE!$F$950/1000</f>
        <v>444.71898</v>
      </c>
      <c r="H444" s="241">
        <f>BDFE!$F$877/1000</f>
        <v>36.32987</v>
      </c>
      <c r="I444" s="241">
        <f>BDFE!$F$1023/1000</f>
        <v>-3608.4505</v>
      </c>
      <c r="J444" s="241">
        <f>SUM(E444,F444,G444,H444,I444)</f>
        <v>-5509.12098</v>
      </c>
    </row>
    <row r="445" spans="1:14">
      <c r="D445" s="264" t="s">
        <v>267</v>
      </c>
      <c r="E445" s="242">
        <f>(BDFE!F732+BDFE!F733)/1000</f>
        <v>-14840.14676</v>
      </c>
      <c r="F445" s="242">
        <f>(BDFE!F805+BDFE!F806)/1000</f>
        <v>-203.53051</v>
      </c>
      <c r="G445" s="242">
        <f>(BDFE!F951+BDFE!F952)/1000</f>
        <v>121.45003</v>
      </c>
      <c r="H445" s="242">
        <f>(BDFE!F878+BDFE!F879)/1000</f>
        <v>-147.83106</v>
      </c>
      <c r="I445" s="242">
        <f>(BDFE!F1024+BDFE!F1025)/1000</f>
        <v>-593.9278</v>
      </c>
      <c r="J445" s="242">
        <f>SUM(E445,F445,G445,H445,I445)</f>
        <v>-15663.9861</v>
      </c>
    </row>
    <row r="446" spans="1:14">
      <c r="D446" s="264" t="s">
        <v>268</v>
      </c>
      <c r="E446" s="242">
        <f>BDFE!$F$734/1000</f>
        <v>-1126.49551</v>
      </c>
      <c r="F446" s="242">
        <f>BDFE!$F$807/1000</f>
        <v>-1581.05295</v>
      </c>
      <c r="G446" s="242">
        <f>BDFE!$F$953/1000</f>
        <v>-2748.16523</v>
      </c>
      <c r="H446" s="242">
        <f>BDFE!$F$880/1000</f>
        <v>-838.23019</v>
      </c>
      <c r="I446" s="242">
        <f>BDFE!$F$1026/1000</f>
        <v>-497.02979</v>
      </c>
      <c r="J446" s="242">
        <f>SUM(E446,F446,G446,H446,I446)</f>
        <v>-6790.97367</v>
      </c>
    </row>
    <row r="447" spans="1:14">
      <c r="D447" s="264" t="s">
        <v>269</v>
      </c>
      <c r="E447" s="242">
        <f>(BDFE!F735+BDFE!F736)/1000</f>
        <v>-1269.89655</v>
      </c>
      <c r="F447" s="242">
        <f>(BDFE!F808+BDFE!F809)/1000</f>
        <v>782.52931</v>
      </c>
      <c r="G447" s="242">
        <f>(BDFE!F954+BDFE!F955)/1000</f>
        <v>-501.51512</v>
      </c>
      <c r="H447" s="242">
        <f>(BDFE!F881+BDFE!F882)/1000</f>
        <v>-130.48656</v>
      </c>
      <c r="I447" s="242">
        <f>(BDFE!F1027+BDFE!F1028)/1000</f>
        <v>9732.69798</v>
      </c>
      <c r="J447" s="242">
        <f>SUM(E447,F447,G447,H447,I447)</f>
        <v>8613.32906</v>
      </c>
    </row>
    <row r="448" spans="1:14">
      <c r="D448" s="264" t="s">
        <v>270</v>
      </c>
      <c r="E448" s="242">
        <f>BDFE!$F$737/1000</f>
        <v>7200.36389</v>
      </c>
      <c r="F448" s="242">
        <f>BDFE!$F$810/1000</f>
        <v>645.6688</v>
      </c>
      <c r="G448" s="242">
        <f>BDFE!$F$956/1000</f>
        <v>4720.14836</v>
      </c>
      <c r="H448" s="242">
        <f>BDFE!$F$883/1000</f>
        <v>449.43113</v>
      </c>
      <c r="I448" s="242">
        <f>BDFE!$F$1029/1000</f>
        <v>-4555.55026</v>
      </c>
      <c r="J448" s="242">
        <f>SUM(E448,F448,G448,H448,I448)</f>
        <v>8460.06192</v>
      </c>
    </row>
    <row r="449" spans="1:14">
      <c r="D449" s="264" t="s">
        <v>271</v>
      </c>
      <c r="E449" s="242">
        <f>(BDFE!F738+BDFE!F739)/1000</f>
        <v>9424.40866</v>
      </c>
      <c r="F449" s="242">
        <f>(BDFE!F811+BDFE!F812)/1000</f>
        <v>121.78854</v>
      </c>
      <c r="G449" s="242">
        <f>(BDFE!F957+BDFE!F958)/1000</f>
        <v>-311.35828</v>
      </c>
      <c r="H449" s="242">
        <f>(BDFE!F884+BDFE!F885)/1000</f>
        <v>0</v>
      </c>
      <c r="I449" s="242">
        <f>(BDFE!F1030+BDFE!F1031)/1000</f>
        <v>-252.19422</v>
      </c>
      <c r="J449" s="242">
        <f>SUM(E449,F449,G449,H449,I449)</f>
        <v>8982.6447</v>
      </c>
    </row>
    <row r="450" spans="1:14">
      <c r="D450" s="264" t="s">
        <v>272</v>
      </c>
      <c r="E450" s="245">
        <f>(BDFE!F740+BDFE!F741+BDFE!F742)/1000</f>
        <v>957.78979</v>
      </c>
      <c r="F450" s="242">
        <f>(BDFE!F813+BDFE!F814+BDFE!F815)/1000</f>
        <v>33.6804</v>
      </c>
      <c r="G450" s="242">
        <f>(BDFE!F959+BDFE!F960+BDFE!F961)/1000</f>
        <v>-54.21908</v>
      </c>
      <c r="H450" s="242">
        <f>(BDFE!F886+BDFE!F887+BDFE!F888)/1000</f>
        <v>-493.23267</v>
      </c>
      <c r="I450" s="242">
        <f>(BDFE!F1032+BDFE!F1033+BDFE!F1034)/1000</f>
        <v>7.67637</v>
      </c>
      <c r="J450" s="242">
        <f>SUM(E450,F450,G450,H450,I450)</f>
        <v>451.69481</v>
      </c>
    </row>
    <row r="451" spans="1:14">
      <c r="D451" s="263" t="s">
        <v>265</v>
      </c>
      <c r="E451" s="239">
        <f>SUM(E444:E450)</f>
        <v>-1901.19932</v>
      </c>
      <c r="F451" s="239">
        <f>SUM(F444:F450)</f>
        <v>-335.4129</v>
      </c>
      <c r="G451" s="239">
        <f>SUM(G444:G450)</f>
        <v>1671.05966</v>
      </c>
      <c r="H451" s="239">
        <f>SUM(H444:H450)</f>
        <v>-1124.01948</v>
      </c>
      <c r="I451" s="239">
        <f>SUM(I444:I450)</f>
        <v>233.22178</v>
      </c>
      <c r="J451" s="239">
        <f>SUM(J444:J450)</f>
        <v>-1456.35026</v>
      </c>
    </row>
    <row r="452" spans="1:14">
      <c r="D452" s="243"/>
      <c r="E452" s="243"/>
      <c r="F452" s="243"/>
      <c r="G452" s="243"/>
      <c r="H452" s="243"/>
      <c r="I452" s="243"/>
      <c r="J452" s="243"/>
    </row>
    <row r="453" spans="1:14">
      <c r="D453" s="243" t="s">
        <v>273</v>
      </c>
      <c r="E453" s="240"/>
      <c r="F453" s="240"/>
      <c r="G453" s="240"/>
      <c r="H453" s="240"/>
      <c r="I453" s="240"/>
      <c r="J453" s="240"/>
    </row>
    <row r="454" spans="1:14">
      <c r="D454" s="264" t="s">
        <v>274</v>
      </c>
      <c r="E454" s="241">
        <f>BDFE!$F$745/1000</f>
        <v>0</v>
      </c>
      <c r="F454" s="241">
        <f>BDFE!$F$818/1000</f>
        <v>0</v>
      </c>
      <c r="G454" s="241">
        <f>BDFE!$F$964/1000</f>
        <v>0</v>
      </c>
      <c r="H454" s="241">
        <f>BDFE!$F$891/1000</f>
        <v>0</v>
      </c>
      <c r="I454" s="241">
        <f>BDFE!$F$1037/1000</f>
        <v>-436.34719</v>
      </c>
      <c r="J454" s="241">
        <f>SUM(E454,F454,G454,H454,I454)</f>
        <v>-436.34719</v>
      </c>
    </row>
    <row r="455" spans="1:14">
      <c r="D455" s="264" t="s">
        <v>275</v>
      </c>
      <c r="E455" s="242">
        <f>BDFE!$F$746/1000</f>
        <v>0</v>
      </c>
      <c r="F455" s="242">
        <f>BDFE!$F$819/1000</f>
        <v>0</v>
      </c>
      <c r="G455" s="242">
        <f>BDFE!$F$965/1000</f>
        <v>0</v>
      </c>
      <c r="H455" s="242">
        <f>BDFE!$F$892/1000</f>
        <v>69</v>
      </c>
      <c r="I455" s="242">
        <f>BDFE!$F$1038/1000</f>
        <v>0</v>
      </c>
      <c r="J455" s="242">
        <f>SUM(E455,F455,G455,H455,I455)</f>
        <v>69</v>
      </c>
    </row>
    <row r="456" spans="1:14">
      <c r="D456" s="264" t="s">
        <v>276</v>
      </c>
      <c r="E456" s="242">
        <f>BDFE!$F$747/1000</f>
        <v>0</v>
      </c>
      <c r="F456" s="242">
        <f>BDFE!$F$820/1000</f>
        <v>0</v>
      </c>
      <c r="G456" s="242">
        <f>BDFE!$F$966/1000</f>
        <v>0</v>
      </c>
      <c r="H456" s="242">
        <f>BDFE!$F$893/1000</f>
        <v>0</v>
      </c>
      <c r="I456" s="242">
        <f>BDFE!$F$1039/1000</f>
        <v>0</v>
      </c>
      <c r="J456" s="242">
        <f>SUM(E456,F456,G456,H456,I456)</f>
        <v>0</v>
      </c>
    </row>
    <row r="457" spans="1:14">
      <c r="D457" s="264" t="s">
        <v>277</v>
      </c>
      <c r="E457" s="242">
        <f>BDFE!$F$748/1000</f>
        <v>0</v>
      </c>
      <c r="F457" s="242">
        <f>BDFE!$F$821/1000</f>
        <v>0</v>
      </c>
      <c r="G457" s="242">
        <f>BDFE!$F$967/1000</f>
        <v>0</v>
      </c>
      <c r="H457" s="242">
        <f>BDFE!$F$894/1000</f>
        <v>0</v>
      </c>
      <c r="I457" s="242">
        <f>BDFE!$F$1040/1000</f>
        <v>0</v>
      </c>
      <c r="J457" s="242">
        <f>SUM(E457,F457,G457,H457,I457)</f>
        <v>0</v>
      </c>
    </row>
    <row r="458" spans="1:14">
      <c r="D458" s="264" t="s">
        <v>278</v>
      </c>
      <c r="E458" s="242">
        <f>(BDFE!F749+BDFE!F750)/1000</f>
        <v>0</v>
      </c>
      <c r="F458" s="242">
        <f>(BDFE!F822+BDFE!F823)/1000</f>
        <v>0</v>
      </c>
      <c r="G458" s="242">
        <f>(BDFE!F968+BDFE!F969)/1000</f>
        <v>0</v>
      </c>
      <c r="H458" s="242">
        <f>(BDFE!F895+BDFE!F896)/1000</f>
        <v>0</v>
      </c>
      <c r="I458" s="242">
        <f>(BDFE!F1041+BDFE!F1042)/1000</f>
        <v>0</v>
      </c>
      <c r="J458" s="242">
        <f>SUM(E458,F458,G458,H458,I458)</f>
        <v>0</v>
      </c>
    </row>
    <row r="459" spans="1:14">
      <c r="D459" s="264" t="s">
        <v>279</v>
      </c>
      <c r="E459" s="242">
        <f>BDFE!$F$751/1000</f>
        <v>0</v>
      </c>
      <c r="F459" s="242">
        <f>BDFE!$F$824/1000</f>
        <v>0</v>
      </c>
      <c r="G459" s="242">
        <f>BDFE!$F$970/1000</f>
        <v>0</v>
      </c>
      <c r="H459" s="242">
        <f>BDFE!$F$897/1000</f>
        <v>0</v>
      </c>
      <c r="I459" s="242">
        <f>BDFE!$F$1043/1000</f>
        <v>0</v>
      </c>
      <c r="J459" s="242">
        <f>SUM(E459,F459,G459,H459,I459)</f>
        <v>0</v>
      </c>
    </row>
    <row r="460" spans="1:14">
      <c r="D460" s="263" t="s">
        <v>280</v>
      </c>
      <c r="E460" s="239">
        <f>SUM(E454:E459)</f>
        <v>0</v>
      </c>
      <c r="F460" s="239">
        <f>SUM(F454:F459)</f>
        <v>0</v>
      </c>
      <c r="G460" s="239">
        <f>SUM(G454:G459)</f>
        <v>0</v>
      </c>
      <c r="H460" s="239">
        <f>SUM(H454:H459)</f>
        <v>69</v>
      </c>
      <c r="I460" s="239">
        <f>SUM(I454:I459)</f>
        <v>-436.34719</v>
      </c>
      <c r="J460" s="239">
        <f>SUM(J454:J459)</f>
        <v>-367.34719</v>
      </c>
    </row>
    <row r="461" spans="1:14">
      <c r="D461" s="243"/>
      <c r="E461" s="243"/>
      <c r="F461" s="244"/>
      <c r="G461" s="244"/>
      <c r="H461" s="244"/>
      <c r="I461" s="244"/>
      <c r="J461" s="244"/>
    </row>
    <row r="462" spans="1:14">
      <c r="D462" s="243" t="s">
        <v>281</v>
      </c>
      <c r="E462" s="240"/>
      <c r="F462" s="240"/>
      <c r="G462" s="240"/>
      <c r="H462" s="240"/>
      <c r="I462" s="240"/>
      <c r="J462" s="240"/>
    </row>
    <row r="463" spans="1:14">
      <c r="D463" s="264" t="s">
        <v>282</v>
      </c>
      <c r="E463" s="241">
        <f>BDFE!$F$754/1000</f>
        <v>0</v>
      </c>
      <c r="F463" s="241">
        <f>BDFE!$F$827/1000</f>
        <v>0</v>
      </c>
      <c r="G463" s="241">
        <f>BDFE!$F$973/1000</f>
        <v>0</v>
      </c>
      <c r="H463" s="241">
        <f>BDFE!$F$900/1000</f>
        <v>0</v>
      </c>
      <c r="I463" s="241">
        <f>BDFE!$F$1046/1000</f>
        <v>0</v>
      </c>
      <c r="J463" s="241">
        <f>SUM(E463,F463,G463,H463,I463)</f>
        <v>0</v>
      </c>
    </row>
    <row r="464" spans="1:14">
      <c r="D464" s="264" t="s">
        <v>283</v>
      </c>
      <c r="E464" s="242">
        <f>BDFE!$F$756/1000</f>
        <v>-438.12434</v>
      </c>
      <c r="F464" s="242">
        <f>BDFE!$F$829/1000</f>
        <v>-392.08362</v>
      </c>
      <c r="G464" s="242">
        <f>BDFE!$F$975/1000</f>
        <v>-11.58103</v>
      </c>
      <c r="H464" s="242">
        <f>BDFE!$F$902/1000</f>
        <v>-25.24056</v>
      </c>
      <c r="I464" s="242">
        <f>BDFE!$F$1048/1000</f>
        <v>0</v>
      </c>
      <c r="J464" s="242">
        <f>SUM(E464,F464,G464,H464,I464)</f>
        <v>-867.02955</v>
      </c>
    </row>
    <row r="465" spans="1:14">
      <c r="D465" s="264" t="s">
        <v>284</v>
      </c>
      <c r="E465" s="242">
        <f>BDFE!$F$758/1000</f>
        <v>0</v>
      </c>
      <c r="F465" s="242">
        <f>BDFE!$F$831/1000</f>
        <v>-50</v>
      </c>
      <c r="G465" s="242">
        <f>BDFE!$F$977/1000</f>
        <v>-16.433</v>
      </c>
      <c r="H465" s="242">
        <f>BDFE!$F$904/1000</f>
        <v>0</v>
      </c>
      <c r="I465" s="242">
        <f>BDFE!$F$1050/1000</f>
        <v>399.05172</v>
      </c>
      <c r="J465" s="242">
        <f>SUM(E465,F465,G465,H465,I465)</f>
        <v>332.61872</v>
      </c>
    </row>
    <row r="466" spans="1:14">
      <c r="D466" s="264" t="s">
        <v>285</v>
      </c>
      <c r="E466" s="242">
        <f>BDFE!$F$760/1000</f>
        <v>0</v>
      </c>
      <c r="F466" s="242">
        <f>BDFE!$F$833/1000</f>
        <v>0</v>
      </c>
      <c r="G466" s="242">
        <f>BDFE!$F$979/1000</f>
        <v>0</v>
      </c>
      <c r="H466" s="242">
        <f>BDFE!$F$906/1000</f>
        <v>0</v>
      </c>
      <c r="I466" s="242">
        <f>BDFE!$F$1052/1000</f>
        <v>0</v>
      </c>
      <c r="J466" s="242">
        <f>SUM(E466,F466,G466,H466,I466)</f>
        <v>0</v>
      </c>
    </row>
    <row r="467" spans="1:14">
      <c r="D467" s="264" t="s">
        <v>286</v>
      </c>
      <c r="E467" s="242">
        <f>BDFE!$F$762/1000</f>
        <v>0</v>
      </c>
      <c r="F467" s="242">
        <f>BDFE!$F$835/1000</f>
        <v>0</v>
      </c>
      <c r="G467" s="242">
        <f>BDFE!$F$981/1000</f>
        <v>-9.98475</v>
      </c>
      <c r="H467" s="242">
        <f>BDFE!$F$908/1000</f>
        <v>0</v>
      </c>
      <c r="I467" s="242">
        <f>BDFE!$F$1054/1000</f>
        <v>0</v>
      </c>
      <c r="J467" s="242">
        <f>SUM(E467,F467,G467,H467,I467)</f>
        <v>-9.98475</v>
      </c>
    </row>
    <row r="468" spans="1:14">
      <c r="D468" s="264" t="s">
        <v>287</v>
      </c>
      <c r="E468" s="242">
        <f>BDFE!$F$764/1000</f>
        <v>0</v>
      </c>
      <c r="F468" s="242">
        <f>BDFE!$F$837/1000</f>
        <v>0</v>
      </c>
      <c r="G468" s="242">
        <f>BDFE!$F$983/1000</f>
        <v>0</v>
      </c>
      <c r="H468" s="242">
        <f>BDFE!$F$910/1000</f>
        <v>0</v>
      </c>
      <c r="I468" s="242">
        <f>BDFE!$F$1056/1000</f>
        <v>0</v>
      </c>
      <c r="J468" s="242">
        <f>SUM(E468,F468,G468,H468,I468)</f>
        <v>0</v>
      </c>
    </row>
    <row r="469" spans="1:14" hidden="true">
      <c r="D469" s="264" t="s">
        <v>288</v>
      </c>
      <c r="E469" s="242">
        <f>BDFE!$F$766/1000</f>
        <v>0</v>
      </c>
      <c r="F469" s="242">
        <f>BDFE!$F$839/1000</f>
        <v>0</v>
      </c>
      <c r="G469" s="242">
        <f>BDFE!$F$985/1000</f>
        <v>0</v>
      </c>
      <c r="H469" s="242">
        <f>BDFE!$F$912/1000</f>
        <v>0</v>
      </c>
      <c r="I469" s="242">
        <f>BDFE!$F$1058/1000</f>
        <v>0</v>
      </c>
      <c r="J469" s="242">
        <f>SUM(E469,F469,G469,H469,I469)</f>
        <v>0</v>
      </c>
    </row>
    <row r="470" spans="1:14" hidden="true">
      <c r="D470" s="264" t="s">
        <v>289</v>
      </c>
      <c r="E470" s="242">
        <f>BDFE!$F$768/1000</f>
        <v>0</v>
      </c>
      <c r="F470" s="242">
        <f>BDFE!$F$841/1000</f>
        <v>0</v>
      </c>
      <c r="G470" s="242">
        <f>BDFE!$F$987/1000</f>
        <v>0</v>
      </c>
      <c r="H470" s="242">
        <f>BDFE!$F$914/1000</f>
        <v>0</v>
      </c>
      <c r="I470" s="242">
        <f>BDFE!$F$1060/1000</f>
        <v>0</v>
      </c>
      <c r="J470" s="242">
        <f>SUM(E470,F470,G470,H470,I470)</f>
        <v>0</v>
      </c>
    </row>
    <row r="471" spans="1:14" hidden="true">
      <c r="D471" s="264" t="s">
        <v>290</v>
      </c>
      <c r="E471" s="242">
        <f>BDFE!$F$770/1000</f>
        <v>0</v>
      </c>
      <c r="F471" s="242">
        <f>BDFE!$F$843/1000</f>
        <v>0</v>
      </c>
      <c r="G471" s="242">
        <f>BDFE!$F$989/1000</f>
        <v>0</v>
      </c>
      <c r="H471" s="242">
        <f>BDFE!$F$916/1000</f>
        <v>0</v>
      </c>
      <c r="I471" s="242">
        <f>BDFE!$F$1062/1000</f>
        <v>0</v>
      </c>
      <c r="J471" s="242">
        <f>SUM(E471,F471,G471,H471,I471)</f>
        <v>0</v>
      </c>
    </row>
    <row r="472" spans="1:14" hidden="true">
      <c r="D472" s="264" t="s">
        <v>291</v>
      </c>
      <c r="E472" s="242">
        <f>BDFE!$F$772/1000</f>
        <v>0</v>
      </c>
      <c r="F472" s="242">
        <f>BDFE!$F$845/1000</f>
        <v>0</v>
      </c>
      <c r="G472" s="242">
        <f>BDFE!$F$991/1000</f>
        <v>0</v>
      </c>
      <c r="H472" s="242">
        <f>BDFE!$F$918/1000</f>
        <v>0</v>
      </c>
      <c r="I472" s="242">
        <f>BDFE!$F$1064/1000</f>
        <v>0</v>
      </c>
      <c r="J472" s="242">
        <f>SUM(E472,F472,G472,H472,I472)</f>
        <v>0</v>
      </c>
    </row>
    <row r="473" spans="1:14" hidden="true">
      <c r="D473" s="264" t="s">
        <v>292</v>
      </c>
      <c r="E473" s="242">
        <f>BDFE!$F$775/1000</f>
        <v>0</v>
      </c>
      <c r="F473" s="242">
        <f>BDFE!$F$848/1000</f>
        <v>0</v>
      </c>
      <c r="G473" s="242">
        <f>BDFE!$F$994/1000</f>
        <v>0</v>
      </c>
      <c r="H473" s="242">
        <f>BDFE!$F$921/1000</f>
        <v>0</v>
      </c>
      <c r="I473" s="242">
        <f>BDFE!$F$1067/1000</f>
        <v>0</v>
      </c>
      <c r="J473" s="242">
        <f>SUM(E473,F473,G473,H473,I473)</f>
        <v>0</v>
      </c>
    </row>
    <row r="474" spans="1:14" hidden="true">
      <c r="D474" s="264" t="s">
        <v>293</v>
      </c>
      <c r="E474" s="242">
        <f>BDFE!$F$776/1000</f>
        <v>0</v>
      </c>
      <c r="F474" s="242">
        <f>BDFE!$F$849/1000</f>
        <v>0</v>
      </c>
      <c r="G474" s="242">
        <f>BDFE!$F$995/1000</f>
        <v>0</v>
      </c>
      <c r="H474" s="242">
        <f>BDFE!$F$922/1000</f>
        <v>0</v>
      </c>
      <c r="I474" s="242">
        <f>BDFE!$F$1068/1000</f>
        <v>0</v>
      </c>
      <c r="J474" s="242">
        <f>SUM(E474,F474,G474,H474,I474)</f>
        <v>0</v>
      </c>
    </row>
    <row r="475" spans="1:14">
      <c r="D475" s="264" t="s">
        <v>313</v>
      </c>
      <c r="E475" s="242">
        <f>BDFE!$F$774/1000</f>
        <v>0</v>
      </c>
      <c r="F475" s="242">
        <f>BDFE!$F$847/1000</f>
        <v>0</v>
      </c>
      <c r="G475" s="242">
        <f>BDFE!$F$993/1000</f>
        <v>0</v>
      </c>
      <c r="H475" s="242">
        <f>BDFE!$F$920/1000</f>
        <v>0</v>
      </c>
      <c r="I475" s="242">
        <f>BDFE!$F$1066/1000</f>
        <v>0</v>
      </c>
      <c r="J475" s="242">
        <f>SUM(E475,F475,G475,H475,I475)</f>
        <v>0</v>
      </c>
    </row>
    <row r="476" spans="1:14" hidden="true">
      <c r="D476" s="264" t="s">
        <v>314</v>
      </c>
      <c r="E476" s="242">
        <f>BDFE!$F$777/1000</f>
        <v>0</v>
      </c>
      <c r="F476" s="242">
        <f>BDFE!$F$850/1000</f>
        <v>0</v>
      </c>
      <c r="G476" s="242">
        <f>BDFE!$F$996/1000</f>
        <v>0</v>
      </c>
      <c r="H476" s="242">
        <f>BDFE!$F$923/1000</f>
        <v>0</v>
      </c>
      <c r="I476" s="242">
        <f>BDFE!$F$1069/1000</f>
        <v>0</v>
      </c>
      <c r="J476" s="242">
        <f>SUM(E476,F476,G476,H476,I476)</f>
        <v>0</v>
      </c>
    </row>
    <row r="477" spans="1:14">
      <c r="D477" s="264" t="s">
        <v>31</v>
      </c>
      <c r="E477" s="245">
        <f>(BDFE!F755+BDFE!F757+BDFE!F759+BDFE!F761+BDFE!F763+BDFE!F765+BDFE!F767+BDFE!F769+BDFE!F771+BDFE!F773-BDFE!F717)/1000</f>
        <v>-5.8207660913467E-14</v>
      </c>
      <c r="F477" s="245">
        <f>(BDFE!F828+BDFE!F830+BDFE!F832+BDFE!F834+BDFE!F836+BDFE!F838+BDFE!F840+BDFE!F842+BDFE!F844+BDFE!F846-BDFE!F790)/1000</f>
        <v>0</v>
      </c>
      <c r="G477" s="245">
        <f>(BDFE!F974+BDFE!F976+BDFE!F978+BDFE!F980+BDFE!F982+BDFE!F984+BDFE!F986+BDFE!F988+BDFE!F990+BDFE!F992-BDFE!F936)/1000</f>
        <v>2.9103830456734E-14</v>
      </c>
      <c r="H477" s="245">
        <f>(BDFE!F901+BDFE!F903+BDFE!F905+BDFE!F907+BDFE!F909+BDFE!F911+BDFE!F913+BDFE!F915+BDFE!F917+BDFE!F919-BDFE!F863)/1000</f>
        <v>0</v>
      </c>
      <c r="I477" s="245">
        <f>(BDFE!F1047+BDFE!F1049+BDFE!F1051+BDFE!F1053+BDFE!F1055+BDFE!F1057+BDFE!F1059+BDFE!F1061+BDFE!F1063+BDFE!F1065-BDFE!F1009)/1000</f>
        <v>-255.3931</v>
      </c>
      <c r="J477" s="245">
        <f>SUM(E477,F477,G477,H477,I477)</f>
        <v>-255.3931</v>
      </c>
    </row>
    <row r="478" spans="1:14">
      <c r="D478" s="263" t="s">
        <v>294</v>
      </c>
      <c r="E478" s="265">
        <f>SUM(E463:E477)</f>
        <v>-438.12434</v>
      </c>
      <c r="F478" s="247">
        <f>SUM(F463:F477)</f>
        <v>-442.08362</v>
      </c>
      <c r="G478" s="247">
        <f>SUM(G463:G477)</f>
        <v>-37.99878</v>
      </c>
      <c r="H478" s="247">
        <f>SUM(H463:H477)</f>
        <v>-25.24056</v>
      </c>
      <c r="I478" s="247">
        <f>SUM(I463:I477)</f>
        <v>143.65862</v>
      </c>
      <c r="J478" s="247">
        <f>SUM(J463:J477)</f>
        <v>-799.78868</v>
      </c>
    </row>
    <row r="479" spans="1:14">
      <c r="D479" s="263" t="s">
        <v>157</v>
      </c>
      <c r="E479" s="14">
        <f>-ajustes!L30</f>
        <v>0</v>
      </c>
      <c r="F479" s="20">
        <f>-ajustes!M30</f>
        <v>0</v>
      </c>
      <c r="G479" s="20">
        <f>-ajustes!N30</f>
        <v>0</v>
      </c>
      <c r="H479" s="20">
        <f>-ajustes!O30</f>
        <v>0</v>
      </c>
      <c r="I479" s="20">
        <f>-ajustes!R30</f>
        <v>0</v>
      </c>
      <c r="J479" s="20">
        <f>SUM(E479:I479)</f>
        <v>0</v>
      </c>
    </row>
    <row r="480" spans="1:14">
      <c r="D480" s="243"/>
      <c r="E480" s="266"/>
      <c r="F480" s="255"/>
      <c r="G480" s="255"/>
      <c r="H480" s="255"/>
      <c r="I480" s="255"/>
      <c r="J480" s="255"/>
    </row>
    <row r="481" spans="1:14">
      <c r="D481" s="263" t="s">
        <v>295</v>
      </c>
      <c r="E481" s="239">
        <f>E441+E451+E460+E478+E479</f>
        <v>-915.42636</v>
      </c>
      <c r="F481" s="239">
        <f>F441+F451+F460+F478+F479</f>
        <v>2393.43262</v>
      </c>
      <c r="G481" s="239">
        <f>G441+G451+G460+G478+G479</f>
        <v>30.2548</v>
      </c>
      <c r="H481" s="239">
        <f>H441+H451+H460+H478+H479</f>
        <v>1661.38329</v>
      </c>
      <c r="I481" s="239">
        <f>I441+I451+I460+I478+I479</f>
        <v>2771.58569</v>
      </c>
      <c r="J481" s="239">
        <f>J441+J451+J460+J478+J479</f>
        <v>5941.23004</v>
      </c>
    </row>
    <row r="482" spans="1:14">
      <c r="D482" s="263" t="s">
        <v>296</v>
      </c>
      <c r="E482" s="247">
        <f>(BDBG!$I$705+BDBG!$I$706)/1000</f>
        <v>7845.27425</v>
      </c>
      <c r="F482" s="239">
        <f>(BDBG!$I$759+BDBG!$I$760)/1000</f>
        <v>2594.25723</v>
      </c>
      <c r="G482" s="239">
        <f>(BDBG!$I$868+BDBG!$I$869)/1000</f>
        <v>1319.24886</v>
      </c>
      <c r="H482" s="239">
        <f>(BDBG!$I$814+BDBG!$I$815)/1000</f>
        <v>34769.61359</v>
      </c>
      <c r="I482" s="239">
        <f>BDBG!$I$922/1000</f>
        <v>2563.16353</v>
      </c>
      <c r="J482" s="239">
        <f>SUM(E482,F482,G482,H482,I482)</f>
        <v>49091.55746</v>
      </c>
    </row>
    <row r="483" spans="1:14">
      <c r="D483" s="263" t="s">
        <v>297</v>
      </c>
      <c r="E483" s="239">
        <f>E481+E482</f>
        <v>6929.84789</v>
      </c>
      <c r="F483" s="239">
        <f>F481+F482</f>
        <v>4987.68985</v>
      </c>
      <c r="G483" s="239">
        <f>G481+G482</f>
        <v>1349.50366</v>
      </c>
      <c r="H483" s="239">
        <f>H481+H482</f>
        <v>36430.99688</v>
      </c>
      <c r="I483" s="239">
        <f>I481+I482</f>
        <v>5334.74922</v>
      </c>
      <c r="J483" s="239">
        <f>J481+J482</f>
        <v>55032.7875</v>
      </c>
    </row>
    <row r="490" spans="1:14">
      <c r="C490" t="s">
        <v>316</v>
      </c>
      <c r="E490">
        <v>615</v>
      </c>
      <c r="F490">
        <v>613</v>
      </c>
    </row>
    <row r="491" spans="1:14">
      <c r="D491" s="255"/>
      <c r="E491" s="235" t="s">
        <v>155</v>
      </c>
      <c r="F491" s="236"/>
      <c r="G491" s="236"/>
    </row>
    <row r="492" spans="1:14">
      <c r="D492" s="255"/>
      <c r="E492" s="235" t="s">
        <v>92</v>
      </c>
      <c r="F492" s="235" t="s">
        <v>93</v>
      </c>
      <c r="G492" s="238" t="s">
        <v>301</v>
      </c>
    </row>
    <row r="493" spans="1:14">
      <c r="D493" s="235" t="s">
        <v>317</v>
      </c>
      <c r="E493" s="239">
        <f>(BDFE!C1231+BDFE!C1220)/1000</f>
        <v>2444.51505</v>
      </c>
      <c r="F493" s="239">
        <f>(BDFE!C1166+BDFE!C1155)/1000</f>
        <v>125.11217</v>
      </c>
      <c r="G493" s="239">
        <f>SUM(E493,F493)</f>
        <v>2569.62722</v>
      </c>
    </row>
    <row r="494" spans="1:14">
      <c r="D494" s="236"/>
      <c r="E494" s="240"/>
      <c r="F494" s="240"/>
      <c r="G494" s="240"/>
    </row>
    <row r="495" spans="1:14">
      <c r="D495" s="235" t="s">
        <v>265</v>
      </c>
      <c r="E495" s="240"/>
      <c r="F495" s="240"/>
      <c r="G495" s="240"/>
    </row>
    <row r="496" spans="1:14">
      <c r="D496" s="236" t="s">
        <v>266</v>
      </c>
      <c r="E496" s="241">
        <f>BDFE!$C$1234/1000</f>
        <v>-3711.47467</v>
      </c>
      <c r="F496" s="241">
        <f>BDFE!$C$1169/1000</f>
        <v>1694.50751</v>
      </c>
      <c r="G496" s="241">
        <f>SUM(E496,F496)</f>
        <v>-2016.96716</v>
      </c>
    </row>
    <row r="497" spans="1:14">
      <c r="D497" s="236" t="s">
        <v>267</v>
      </c>
      <c r="E497" s="242">
        <f>BDFE!$C$1235/1000</f>
        <v>-1407.05842</v>
      </c>
      <c r="F497" s="242">
        <f>BDFE!$C$1170/1000</f>
        <v>-313.69908</v>
      </c>
      <c r="G497" s="242">
        <f>SUM(E497,F497)</f>
        <v>-1720.7575</v>
      </c>
    </row>
    <row r="498" spans="1:14">
      <c r="D498" s="236" t="s">
        <v>268</v>
      </c>
      <c r="E498" s="242">
        <f>BDFE!$C$1236/1000</f>
        <v>2154.03081</v>
      </c>
      <c r="F498" s="242">
        <f>BDFE!$C$1171/1000</f>
        <v>0</v>
      </c>
      <c r="G498" s="242">
        <f>SUM(E498,F498)</f>
        <v>2154.03081</v>
      </c>
    </row>
    <row r="499" spans="1:14">
      <c r="D499" s="236" t="s">
        <v>269</v>
      </c>
      <c r="E499" s="242">
        <f>(BDFE!C1237+BDFE!C1238)/1000</f>
        <v>-305.175</v>
      </c>
      <c r="F499" s="242">
        <f>(BDFE!C1172+BDFE!C1173)/1000</f>
        <v>-54.14864</v>
      </c>
      <c r="G499" s="242">
        <f>SUM(E499,F499)</f>
        <v>-359.32364</v>
      </c>
    </row>
    <row r="500" spans="1:14">
      <c r="D500" s="236" t="s">
        <v>318</v>
      </c>
      <c r="E500" s="242">
        <f>BDFE!$C$1239/1000</f>
        <v>0</v>
      </c>
      <c r="F500" s="242">
        <f>BDFE!$C$1174/1000</f>
        <v>0</v>
      </c>
      <c r="G500" s="242">
        <f>SUM(E500,F500)</f>
        <v>0</v>
      </c>
    </row>
    <row r="501" spans="1:14">
      <c r="D501" s="236" t="s">
        <v>319</v>
      </c>
      <c r="E501" s="242">
        <f>BDFE!$C$1240/1000</f>
        <v>0</v>
      </c>
      <c r="F501" s="242">
        <f>BDFE!$C$1175/1000</f>
        <v>0</v>
      </c>
      <c r="G501" s="242">
        <f>SUM(E501,F501)</f>
        <v>0</v>
      </c>
    </row>
    <row r="502" spans="1:14">
      <c r="D502" s="236" t="s">
        <v>270</v>
      </c>
      <c r="E502" s="242">
        <f>BDFE!$C$1241/1000</f>
        <v>0</v>
      </c>
      <c r="F502" s="242">
        <f>BDFE!$C$1176/1000</f>
        <v>-1457</v>
      </c>
      <c r="G502" s="242">
        <f>SUM(E502,F502)</f>
        <v>-1457</v>
      </c>
    </row>
    <row r="503" spans="1:14">
      <c r="D503" s="236" t="s">
        <v>271</v>
      </c>
      <c r="E503" s="242">
        <f>(BDFE!C1242+BDFE!C1243)/1000</f>
        <v>-818.62321</v>
      </c>
      <c r="F503" s="242">
        <f>(BDFE!C1177+BDFE!C1178)/1000</f>
        <v>-2.9</v>
      </c>
      <c r="G503" s="242">
        <f>SUM(E503,F503)</f>
        <v>-821.52321</v>
      </c>
    </row>
    <row r="504" spans="1:14">
      <c r="D504" s="236" t="s">
        <v>272</v>
      </c>
      <c r="E504" s="242">
        <f>(BDFE!C1244+BDFE!C1245)/1000</f>
        <v>-124.89318</v>
      </c>
      <c r="F504" s="242">
        <f>(BDFE!C1179+BDFE!C1180)/1000</f>
        <v>-388.67892</v>
      </c>
      <c r="G504" s="242">
        <f>SUM(E504,F504)</f>
        <v>-513.5721</v>
      </c>
    </row>
    <row r="505" spans="1:14">
      <c r="D505" s="236" t="s">
        <v>320</v>
      </c>
      <c r="E505" s="242">
        <f>BDFE!$C$1246/1000</f>
        <v>0</v>
      </c>
      <c r="F505" s="242">
        <f>BDFE!$C$1181/1000</f>
        <v>0</v>
      </c>
      <c r="G505" s="242">
        <f>SUM(E505,F505)</f>
        <v>0</v>
      </c>
    </row>
    <row r="506" spans="1:14">
      <c r="D506" s="236" t="s">
        <v>321</v>
      </c>
      <c r="E506" s="242">
        <f>(BDFE!C1247+BDFE!C1248)/1000</f>
        <v>667.37466</v>
      </c>
      <c r="F506" s="242">
        <f>(BDFE!C1182+BDFE!C1183)/1000</f>
        <v>0</v>
      </c>
      <c r="G506" s="242">
        <f>SUM(E506,F506)</f>
        <v>667.37466</v>
      </c>
    </row>
    <row r="507" spans="1:14">
      <c r="D507" s="235" t="s">
        <v>265</v>
      </c>
      <c r="E507" s="239">
        <f>SUM(E496:E506)</f>
        <v>-3545.81901</v>
      </c>
      <c r="F507" s="239">
        <f>SUM(F496:F506)</f>
        <v>-521.91913</v>
      </c>
      <c r="G507" s="239">
        <f>SUM(G496:G506)</f>
        <v>-4067.73814</v>
      </c>
    </row>
    <row r="508" spans="1:14">
      <c r="D508" s="236"/>
      <c r="E508" s="249"/>
      <c r="F508" s="249"/>
      <c r="G508" s="249"/>
    </row>
    <row r="509" spans="1:14">
      <c r="D509" s="235" t="s">
        <v>273</v>
      </c>
      <c r="E509" s="252"/>
      <c r="F509" s="252"/>
      <c r="G509" s="252"/>
    </row>
    <row r="510" spans="1:14">
      <c r="D510" s="236" t="s">
        <v>274</v>
      </c>
      <c r="E510" s="241">
        <f>BDFE!$C$1251/1000</f>
        <v>0</v>
      </c>
      <c r="F510" s="241">
        <f>BDFE!$C$1186/1000</f>
        <v>0</v>
      </c>
      <c r="G510" s="241">
        <f>SUM(E510,F510)</f>
        <v>0</v>
      </c>
    </row>
    <row r="511" spans="1:14" customHeight="1" ht="14.5" hidden="true">
      <c r="D511" s="236" t="s">
        <v>275</v>
      </c>
      <c r="E511" s="242"/>
      <c r="F511" s="242"/>
      <c r="G511" s="242">
        <f>SUM(E511,F511)</f>
        <v>0</v>
      </c>
    </row>
    <row r="512" spans="1:14">
      <c r="D512" s="236" t="s">
        <v>276</v>
      </c>
      <c r="E512" s="242">
        <f>BDFE!$C$1252/1000</f>
        <v>0</v>
      </c>
      <c r="F512" s="242">
        <f>BDFE!$C$1187/1000</f>
        <v>0</v>
      </c>
      <c r="G512" s="242">
        <f>SUM(E512,F512)</f>
        <v>0</v>
      </c>
    </row>
    <row r="513" spans="1:14">
      <c r="D513" s="236" t="s">
        <v>277</v>
      </c>
      <c r="E513" s="242">
        <f>BDFE!$C$1253/1000</f>
        <v>0</v>
      </c>
      <c r="F513" s="242">
        <f>BDFE!$C$1188/1000</f>
        <v>0</v>
      </c>
      <c r="G513" s="242">
        <f>SUM(E513,F513)</f>
        <v>0</v>
      </c>
    </row>
    <row r="514" spans="1:14">
      <c r="D514" s="236" t="s">
        <v>278</v>
      </c>
      <c r="E514" s="242">
        <f>BDFE!$C$1254/1000</f>
        <v>0</v>
      </c>
      <c r="F514" s="242">
        <f>BDFE!$C$1189/1000</f>
        <v>0</v>
      </c>
      <c r="G514" s="242">
        <f>SUM(E514,F514)</f>
        <v>0</v>
      </c>
    </row>
    <row r="515" spans="1:14">
      <c r="D515" s="236" t="s">
        <v>279</v>
      </c>
      <c r="E515" s="242">
        <f>BDFE!$C$1255/1000</f>
        <v>0</v>
      </c>
      <c r="F515" s="242">
        <f>BDFE!$C$1190/1000</f>
        <v>0</v>
      </c>
      <c r="G515" s="242">
        <f>SUM(E515,F515)</f>
        <v>0</v>
      </c>
    </row>
    <row r="516" spans="1:14">
      <c r="D516" s="235" t="s">
        <v>280</v>
      </c>
      <c r="E516" s="239">
        <f>SUM(E510:E515)</f>
        <v>0</v>
      </c>
      <c r="F516" s="239">
        <f>SUM(F510:F515)</f>
        <v>0</v>
      </c>
      <c r="G516" s="239">
        <f>SUM(G510:G515)</f>
        <v>0</v>
      </c>
    </row>
    <row r="517" spans="1:14">
      <c r="D517" s="235"/>
      <c r="E517" s="249"/>
      <c r="F517" s="249"/>
      <c r="G517" s="249"/>
    </row>
    <row r="518" spans="1:14">
      <c r="D518" s="235" t="s">
        <v>281</v>
      </c>
      <c r="E518" s="252"/>
      <c r="F518" s="252"/>
      <c r="G518" s="252"/>
    </row>
    <row r="519" spans="1:14">
      <c r="D519" s="236" t="s">
        <v>322</v>
      </c>
      <c r="E519" s="241">
        <f>BDFE!$C$1258/1000</f>
        <v>0</v>
      </c>
      <c r="F519" s="241">
        <f>BDFE!$C$1193/1000</f>
        <v>0</v>
      </c>
      <c r="G519" s="241">
        <f>SUM(E519,F519)</f>
        <v>0</v>
      </c>
    </row>
    <row r="520" spans="1:14">
      <c r="D520" s="236" t="s">
        <v>282</v>
      </c>
      <c r="E520" s="242">
        <f>BDFE!$C$1259/1000</f>
        <v>0</v>
      </c>
      <c r="F520" s="242">
        <f>BDFE!$C$1194/1000</f>
        <v>0</v>
      </c>
      <c r="G520" s="242">
        <f>SUM(E520,F520)</f>
        <v>0</v>
      </c>
    </row>
    <row r="521" spans="1:14" hidden="true">
      <c r="D521" s="236" t="s">
        <v>283</v>
      </c>
      <c r="E521" s="242">
        <f>BDFE!$C$1261/1000</f>
        <v>0</v>
      </c>
      <c r="F521" s="242">
        <f>BDFE!$C$1196/1000</f>
        <v>0</v>
      </c>
      <c r="G521" s="242">
        <f>SUM(E521,F521)</f>
        <v>0</v>
      </c>
    </row>
    <row r="522" spans="1:14" hidden="true">
      <c r="D522" s="236" t="s">
        <v>284</v>
      </c>
      <c r="E522" s="242">
        <f>BDFE!$C$1265/1000</f>
        <v>0</v>
      </c>
      <c r="F522" s="242">
        <f>BDFE!$C$1200/1000</f>
        <v>0</v>
      </c>
      <c r="G522" s="242">
        <f>SUM(E522,F522)</f>
        <v>0</v>
      </c>
    </row>
    <row r="523" spans="1:14">
      <c r="D523" s="236" t="s">
        <v>285</v>
      </c>
      <c r="E523" s="242">
        <f>BDFE!$C$1267/1000</f>
        <v>0</v>
      </c>
      <c r="F523" s="242">
        <f>BDFE!$C$1202/1000</f>
        <v>0</v>
      </c>
      <c r="G523" s="242">
        <f>SUM(E523,F523)</f>
        <v>0</v>
      </c>
    </row>
    <row r="524" spans="1:14">
      <c r="D524" s="236" t="s">
        <v>286</v>
      </c>
      <c r="E524" s="242">
        <f>BDFE!$C$1262/1000</f>
        <v>0</v>
      </c>
      <c r="F524" s="242">
        <f>BDFE!$C$1197/1000</f>
        <v>0</v>
      </c>
      <c r="G524" s="242">
        <f>SUM(E524,F524)</f>
        <v>0</v>
      </c>
    </row>
    <row r="525" spans="1:14">
      <c r="D525" s="236" t="s">
        <v>287</v>
      </c>
      <c r="E525" s="242">
        <f>BDFE!$C$1269/1000</f>
        <v>0</v>
      </c>
      <c r="F525" s="242">
        <f>BDFE!$C$1204/1000</f>
        <v>0</v>
      </c>
      <c r="G525" s="242">
        <f>SUM(E525,F525)</f>
        <v>0</v>
      </c>
    </row>
    <row r="526" spans="1:14" hidden="true">
      <c r="D526" s="236" t="s">
        <v>288</v>
      </c>
      <c r="E526" s="242">
        <f>BDFE!$C$1270/1000</f>
        <v>0</v>
      </c>
      <c r="F526" s="242">
        <f>BDFE!$C$1205/1000</f>
        <v>0</v>
      </c>
      <c r="G526" s="242">
        <f>SUM(E526,F526)</f>
        <v>0</v>
      </c>
    </row>
    <row r="527" spans="1:14" hidden="true">
      <c r="D527" s="236" t="s">
        <v>289</v>
      </c>
      <c r="E527" s="242"/>
      <c r="F527" s="242"/>
      <c r="G527" s="242">
        <f>SUM(E527,F527)</f>
        <v>0</v>
      </c>
    </row>
    <row r="528" spans="1:14" hidden="true">
      <c r="D528" s="236" t="s">
        <v>290</v>
      </c>
      <c r="E528" s="242"/>
      <c r="F528" s="242"/>
      <c r="G528" s="242">
        <f>SUM(E528,F528)</f>
        <v>0</v>
      </c>
    </row>
    <row r="529" spans="1:14" hidden="true">
      <c r="D529" s="236" t="s">
        <v>291</v>
      </c>
      <c r="E529" s="242"/>
      <c r="F529" s="242"/>
      <c r="G529" s="242">
        <f>SUM(E529,F529)</f>
        <v>0</v>
      </c>
    </row>
    <row r="530" spans="1:14" hidden="true">
      <c r="D530" s="236" t="s">
        <v>323</v>
      </c>
      <c r="E530" s="242"/>
      <c r="F530" s="242"/>
      <c r="G530" s="242">
        <f>SUM(E530,F530)</f>
        <v>0</v>
      </c>
    </row>
    <row r="531" spans="1:14" hidden="true">
      <c r="D531" s="236" t="s">
        <v>293</v>
      </c>
      <c r="E531" s="267"/>
      <c r="F531" s="267"/>
      <c r="G531" s="267">
        <f>SUM(E531,F531)</f>
        <v>0</v>
      </c>
    </row>
    <row r="532" spans="1:14" hidden="true">
      <c r="D532" s="236" t="s">
        <v>324</v>
      </c>
      <c r="E532" s="267">
        <f>BDFE!$C$1272/1000</f>
        <v>0</v>
      </c>
      <c r="F532" s="267">
        <f>BDFE!$C$1207/1000</f>
        <v>0</v>
      </c>
      <c r="G532" s="267">
        <f>SUM(E532,F532)</f>
        <v>0</v>
      </c>
    </row>
    <row r="533" spans="1:14">
      <c r="D533" s="236" t="s">
        <v>325</v>
      </c>
      <c r="E533" s="245">
        <f>(BDFE!C1260+BDFE!C1263+BDFE!C1264+BDFE!C1266+BDFE!C1268+BDFE!C1271-BDFE!C1220)/1000</f>
        <v>0</v>
      </c>
      <c r="F533" s="245">
        <f>(BDFE!C1195+BDFE!C1198+BDFE!C1199+BDFE!C1201+BDFE!C1203+BDFE!C1206-BDFE!C1155)/1000</f>
        <v>0</v>
      </c>
      <c r="G533" s="245">
        <f>SUM(E533,F533)</f>
        <v>0</v>
      </c>
      <c r="N533" t="s">
        <v>326</v>
      </c>
    </row>
    <row r="534" spans="1:14">
      <c r="D534" s="235" t="s">
        <v>294</v>
      </c>
      <c r="E534" s="239">
        <f>SUM(E519:E533)</f>
        <v>0</v>
      </c>
      <c r="F534" s="239">
        <f>SUM(F519:F533)</f>
        <v>0</v>
      </c>
      <c r="G534" s="239">
        <f>SUM(G519:G533)</f>
        <v>0</v>
      </c>
    </row>
    <row r="535" spans="1:14">
      <c r="D535" s="236"/>
      <c r="E535" s="255"/>
      <c r="F535" s="255"/>
      <c r="G535" s="255"/>
    </row>
    <row r="536" spans="1:14">
      <c r="D536" s="235" t="s">
        <v>295</v>
      </c>
      <c r="E536" s="268">
        <f>E493+E507+E516+E534</f>
        <v>-1101.30396</v>
      </c>
      <c r="F536" s="268">
        <f>F493+F507+F516+F534</f>
        <v>-396.80696</v>
      </c>
      <c r="G536" s="268">
        <f>G493+G507+G516+G534</f>
        <v>-1498.11092</v>
      </c>
    </row>
    <row r="537" spans="1:14">
      <c r="D537" s="237" t="s">
        <v>296</v>
      </c>
      <c r="E537" s="239">
        <f>BDBG!$H$1084/1000</f>
        <v>10590.63274</v>
      </c>
      <c r="F537" s="239">
        <f>BDBG!$H$1030/1000</f>
        <v>1856.41224</v>
      </c>
      <c r="G537" s="239">
        <f>SUM(E537,F537)</f>
        <v>12447.04498</v>
      </c>
    </row>
    <row r="538" spans="1:14">
      <c r="D538" s="237" t="s">
        <v>297</v>
      </c>
      <c r="E538" s="239">
        <f>SUM(E536:E537)</f>
        <v>9489.32878</v>
      </c>
      <c r="F538" s="239">
        <f>SUM(F536:F537)</f>
        <v>1459.60528</v>
      </c>
      <c r="G538" s="239">
        <f>SUM(G536:G537)</f>
        <v>10948.93406</v>
      </c>
    </row>
    <row r="545" spans="1:14">
      <c r="D545" s="250"/>
      <c r="E545" s="235" t="s">
        <v>315</v>
      </c>
      <c r="F545" s="236"/>
      <c r="G545" s="236"/>
    </row>
    <row r="546" spans="1:14">
      <c r="D546" s="262"/>
      <c r="E546" s="235" t="s">
        <v>92</v>
      </c>
      <c r="F546" s="235" t="s">
        <v>93</v>
      </c>
      <c r="G546" s="238" t="s">
        <v>301</v>
      </c>
    </row>
    <row r="547" spans="1:14">
      <c r="D547" s="235" t="s">
        <v>317</v>
      </c>
      <c r="E547" s="239">
        <f>(BDFE!F1231+BDFE!F1220)/1000</f>
        <v>2444.51505</v>
      </c>
      <c r="F547" s="239">
        <f>(BDFE!F1166+BDFE!F1155)/1000</f>
        <v>125.11217</v>
      </c>
      <c r="G547" s="239">
        <f>SUM(E547,F547)</f>
        <v>2569.62722</v>
      </c>
    </row>
    <row r="548" spans="1:14">
      <c r="D548" s="236"/>
      <c r="E548" s="240"/>
      <c r="F548" s="240"/>
      <c r="G548" s="240"/>
    </row>
    <row r="549" spans="1:14">
      <c r="D549" s="235" t="s">
        <v>265</v>
      </c>
      <c r="E549" s="240"/>
      <c r="F549" s="240"/>
      <c r="G549" s="240"/>
    </row>
    <row r="550" spans="1:14">
      <c r="D550" s="236" t="s">
        <v>266</v>
      </c>
      <c r="E550" s="241">
        <f>BDFE!$F$1234/1000</f>
        <v>-3711.47467</v>
      </c>
      <c r="F550" s="241">
        <f>BDFE!$F$1169/1000</f>
        <v>1694.50751</v>
      </c>
      <c r="G550" s="241">
        <f>SUM(E550,F550)</f>
        <v>-2016.96716</v>
      </c>
    </row>
    <row r="551" spans="1:14">
      <c r="D551" s="236" t="s">
        <v>267</v>
      </c>
      <c r="E551" s="242">
        <f>BDFE!$F$1235/1000</f>
        <v>-1407.05842</v>
      </c>
      <c r="F551" s="242">
        <f>BDFE!$F$1170/1000</f>
        <v>-313.69908</v>
      </c>
      <c r="G551" s="242">
        <f>SUM(E551,F551)</f>
        <v>-1720.7575</v>
      </c>
    </row>
    <row r="552" spans="1:14">
      <c r="D552" s="236" t="s">
        <v>268</v>
      </c>
      <c r="E552" s="242">
        <f>BDFE!$F$1236/1000</f>
        <v>2154.03081</v>
      </c>
      <c r="F552" s="242">
        <f>BDFE!$F$1171/1000</f>
        <v>0</v>
      </c>
      <c r="G552" s="242">
        <f>SUM(E552,F552)</f>
        <v>2154.03081</v>
      </c>
    </row>
    <row r="553" spans="1:14">
      <c r="D553" s="236" t="s">
        <v>269</v>
      </c>
      <c r="E553" s="242">
        <f>(BDFE!F1237+BDFE!F1238)/1000</f>
        <v>-305.175</v>
      </c>
      <c r="F553" s="242">
        <f>(BDFE!F1172+BDFE!F1173)/1000</f>
        <v>-54.14864</v>
      </c>
      <c r="G553" s="242">
        <f>SUM(E553,F553)</f>
        <v>-359.32364</v>
      </c>
    </row>
    <row r="554" spans="1:14">
      <c r="D554" s="236" t="s">
        <v>318</v>
      </c>
      <c r="E554" s="242">
        <f>BDFE!$F$1239/1000</f>
        <v>0</v>
      </c>
      <c r="F554" s="242">
        <f>BDFE!$F$1174/1000</f>
        <v>0</v>
      </c>
      <c r="G554" s="242">
        <f>SUM(E554,F554)</f>
        <v>0</v>
      </c>
    </row>
    <row r="555" spans="1:14">
      <c r="D555" s="236" t="s">
        <v>319</v>
      </c>
      <c r="E555" s="242">
        <f>BDFE!$F$1240/1000</f>
        <v>0</v>
      </c>
      <c r="F555" s="242">
        <f>BDFE!$F$1175/1000</f>
        <v>0</v>
      </c>
      <c r="G555" s="242">
        <f>SUM(E555,F555)</f>
        <v>0</v>
      </c>
    </row>
    <row r="556" spans="1:14">
      <c r="D556" s="236" t="s">
        <v>270</v>
      </c>
      <c r="E556" s="242">
        <f>BDFE!$F$1241/1000</f>
        <v>0</v>
      </c>
      <c r="F556" s="242">
        <f>BDFE!$F$1176/1000</f>
        <v>-1457</v>
      </c>
      <c r="G556" s="242">
        <f>SUM(E556,F556)</f>
        <v>-1457</v>
      </c>
    </row>
    <row r="557" spans="1:14">
      <c r="D557" s="236" t="s">
        <v>271</v>
      </c>
      <c r="E557" s="242">
        <f>(BDFE!F1242+BDFE!F1243)/1000</f>
        <v>-818.62321</v>
      </c>
      <c r="F557" s="242">
        <f>(BDFE!F1177+BDFE!F1178)/1000</f>
        <v>-2.9</v>
      </c>
      <c r="G557" s="242">
        <f>SUM(E557,F557)</f>
        <v>-821.52321</v>
      </c>
    </row>
    <row r="558" spans="1:14">
      <c r="D558" s="236" t="s">
        <v>272</v>
      </c>
      <c r="E558" s="242">
        <f>(BDFE!F1244+BDFE!F1245)/1000</f>
        <v>-124.89318</v>
      </c>
      <c r="F558" s="242">
        <f>(BDFE!F1179+BDFE!F1180)/1000</f>
        <v>-388.67892</v>
      </c>
      <c r="G558" s="242">
        <f>SUM(E558,F558)</f>
        <v>-513.5721</v>
      </c>
    </row>
    <row r="559" spans="1:14">
      <c r="D559" s="236" t="s">
        <v>320</v>
      </c>
      <c r="E559" s="242">
        <f>BDFE!$F$1246/1000</f>
        <v>0</v>
      </c>
      <c r="F559" s="242">
        <f>BDFE!$F$1181/1000</f>
        <v>0</v>
      </c>
      <c r="G559" s="242">
        <f>SUM(E559,F559)</f>
        <v>0</v>
      </c>
    </row>
    <row r="560" spans="1:14">
      <c r="D560" s="236" t="s">
        <v>321</v>
      </c>
      <c r="E560" s="242">
        <f>(BDFE!F1247+BDFE!F1248)/1000</f>
        <v>667.37466</v>
      </c>
      <c r="F560" s="242">
        <f>(BDFE!F1182+BDFE!F1183)/1000</f>
        <v>0</v>
      </c>
      <c r="G560" s="242">
        <f>SUM(E560,F560)</f>
        <v>667.37466</v>
      </c>
    </row>
    <row r="561" spans="1:14">
      <c r="D561" s="235" t="s">
        <v>265</v>
      </c>
      <c r="E561" s="239">
        <f>SUM(E550:E560)</f>
        <v>-3545.81901</v>
      </c>
      <c r="F561" s="239">
        <f>SUM(F550:F560)</f>
        <v>-521.91913</v>
      </c>
      <c r="G561" s="239">
        <f>SUM(G550:G560)</f>
        <v>-4067.73814</v>
      </c>
    </row>
    <row r="562" spans="1:14" customHeight="1" ht="14.15">
      <c r="D562" s="236"/>
      <c r="E562" s="249"/>
      <c r="F562" s="249"/>
      <c r="G562" s="249"/>
    </row>
    <row r="563" spans="1:14">
      <c r="D563" s="235" t="s">
        <v>273</v>
      </c>
      <c r="E563" s="240"/>
      <c r="F563" s="252"/>
      <c r="G563" s="252"/>
    </row>
    <row r="564" spans="1:14">
      <c r="D564" s="236" t="s">
        <v>274</v>
      </c>
      <c r="E564" s="241">
        <f>BDFE!$F$1251/1000</f>
        <v>0</v>
      </c>
      <c r="F564" s="241">
        <f>BDFE!$F$1186/1000</f>
        <v>0</v>
      </c>
      <c r="G564" s="241">
        <f>SUM(E564,F564)</f>
        <v>0</v>
      </c>
    </row>
    <row r="565" spans="1:14" hidden="true">
      <c r="D565" s="236" t="s">
        <v>275</v>
      </c>
      <c r="E565" s="242"/>
      <c r="F565" s="242"/>
      <c r="G565" s="242">
        <f>SUM(E565,F565)</f>
        <v>0</v>
      </c>
    </row>
    <row r="566" spans="1:14">
      <c r="D566" s="236" t="s">
        <v>276</v>
      </c>
      <c r="E566" s="242">
        <f>BDFE!$F$1252/1000</f>
        <v>0</v>
      </c>
      <c r="F566" s="242">
        <f>BDFE!$F$1187/1000</f>
        <v>0</v>
      </c>
      <c r="G566" s="242">
        <f>SUM(E566,F566)</f>
        <v>0</v>
      </c>
    </row>
    <row r="567" spans="1:14">
      <c r="D567" s="236" t="s">
        <v>277</v>
      </c>
      <c r="E567" s="242">
        <f>BDFE!$F$1253/1000</f>
        <v>0</v>
      </c>
      <c r="F567" s="242">
        <f>BDFE!$F$1188/1000</f>
        <v>0</v>
      </c>
      <c r="G567" s="242">
        <f>SUM(E567,F567)</f>
        <v>0</v>
      </c>
    </row>
    <row r="568" spans="1:14">
      <c r="D568" s="236" t="s">
        <v>278</v>
      </c>
      <c r="E568" s="242">
        <f>BDFE!$F$1254/1000</f>
        <v>0</v>
      </c>
      <c r="F568" s="242">
        <f>BDFE!$F$1189/1000</f>
        <v>0</v>
      </c>
      <c r="G568" s="242">
        <f>SUM(E568,F568)</f>
        <v>0</v>
      </c>
    </row>
    <row r="569" spans="1:14">
      <c r="D569" s="236" t="s">
        <v>279</v>
      </c>
      <c r="E569" s="242">
        <f>BDFE!$F$1255/1000</f>
        <v>0</v>
      </c>
      <c r="F569" s="242">
        <f>BDFE!$F$1190/1000</f>
        <v>0</v>
      </c>
      <c r="G569" s="242">
        <f>SUM(E569,F569)</f>
        <v>0</v>
      </c>
    </row>
    <row r="570" spans="1:14">
      <c r="D570" s="235" t="s">
        <v>280</v>
      </c>
      <c r="E570" s="239">
        <f>SUM(E564:E569)</f>
        <v>0</v>
      </c>
      <c r="F570" s="239">
        <f>SUM(F564:F569)</f>
        <v>0</v>
      </c>
      <c r="G570" s="239">
        <f>SUM(G564:G569)</f>
        <v>0</v>
      </c>
    </row>
    <row r="571" spans="1:14">
      <c r="D571" s="235"/>
      <c r="E571" s="249"/>
      <c r="F571" s="249"/>
      <c r="G571" s="249"/>
    </row>
    <row r="572" spans="1:14">
      <c r="D572" s="235" t="s">
        <v>281</v>
      </c>
      <c r="E572" s="240"/>
      <c r="F572" s="252"/>
      <c r="G572" s="252"/>
    </row>
    <row r="573" spans="1:14">
      <c r="D573" s="236" t="s">
        <v>322</v>
      </c>
      <c r="E573" s="241">
        <f>BDFE!$F$1258/1000</f>
        <v>0</v>
      </c>
      <c r="F573" s="241">
        <f>BDFE!$F$1193/1000</f>
        <v>0</v>
      </c>
      <c r="G573" s="241">
        <f>SUM(E573,F573)</f>
        <v>0</v>
      </c>
    </row>
    <row r="574" spans="1:14">
      <c r="D574" s="236" t="s">
        <v>282</v>
      </c>
      <c r="E574" s="242">
        <f>BDFE!$F$1259/1000</f>
        <v>0</v>
      </c>
      <c r="F574" s="242">
        <f>BDFE!$F$1194/1000</f>
        <v>0</v>
      </c>
      <c r="G574" s="242">
        <f>SUM(E574,F574)</f>
        <v>0</v>
      </c>
    </row>
    <row r="575" spans="1:14" hidden="true">
      <c r="D575" s="236" t="s">
        <v>283</v>
      </c>
      <c r="E575" s="242">
        <f>BDFE!$F$1261/1000</f>
        <v>0</v>
      </c>
      <c r="F575" s="242">
        <f>BDFE!$F$1196/1000</f>
        <v>0</v>
      </c>
      <c r="G575" s="242">
        <f>SUM(E575,F575)</f>
        <v>0</v>
      </c>
    </row>
    <row r="576" spans="1:14" hidden="true">
      <c r="D576" s="236" t="s">
        <v>284</v>
      </c>
      <c r="E576" s="242">
        <f>BDFE!$F$1265/1000</f>
        <v>0</v>
      </c>
      <c r="F576" s="242">
        <f>BDFE!$F$1200/1000</f>
        <v>0</v>
      </c>
      <c r="G576" s="242">
        <f>SUM(E576,F576)</f>
        <v>0</v>
      </c>
    </row>
    <row r="577" spans="1:14">
      <c r="D577" s="236" t="s">
        <v>285</v>
      </c>
      <c r="E577" s="242">
        <f>BDFE!$F$1267/1000</f>
        <v>0</v>
      </c>
      <c r="F577" s="242">
        <f>BDFE!$F$1202/1000</f>
        <v>0</v>
      </c>
      <c r="G577" s="242">
        <f>SUM(E577,F577)</f>
        <v>0</v>
      </c>
    </row>
    <row r="578" spans="1:14">
      <c r="D578" s="236" t="s">
        <v>286</v>
      </c>
      <c r="E578" s="242">
        <f>BDFE!$F$1262/1000</f>
        <v>0</v>
      </c>
      <c r="F578" s="242">
        <f>BDFE!$F$1197/1000</f>
        <v>0</v>
      </c>
      <c r="G578" s="242">
        <f>SUM(E578,F578)</f>
        <v>0</v>
      </c>
    </row>
    <row r="579" spans="1:14">
      <c r="D579" s="236" t="s">
        <v>287</v>
      </c>
      <c r="E579" s="242">
        <f>BDFE!$F$1269/1000</f>
        <v>0</v>
      </c>
      <c r="F579" s="242">
        <f>BDFE!$F$1204/1000</f>
        <v>0</v>
      </c>
      <c r="G579" s="242">
        <f>SUM(E579,F579)</f>
        <v>0</v>
      </c>
    </row>
    <row r="580" spans="1:14">
      <c r="D580" s="236" t="s">
        <v>288</v>
      </c>
      <c r="E580" s="242">
        <f>BDFE!$F$1270/1000</f>
        <v>0</v>
      </c>
      <c r="F580" s="242">
        <f>BDFE!$F$1205/1000</f>
        <v>0</v>
      </c>
      <c r="G580" s="242">
        <f>SUM(E580,F580)</f>
        <v>0</v>
      </c>
    </row>
    <row r="581" spans="1:14" hidden="true">
      <c r="D581" s="236" t="s">
        <v>289</v>
      </c>
      <c r="E581" s="242"/>
      <c r="F581" s="242"/>
      <c r="G581" s="242">
        <f>SUM(E581,F581)</f>
        <v>0</v>
      </c>
    </row>
    <row r="582" spans="1:14" hidden="true">
      <c r="D582" s="236" t="s">
        <v>290</v>
      </c>
      <c r="E582" s="242"/>
      <c r="F582" s="242"/>
      <c r="G582" s="242">
        <f>SUM(E582,F582)</f>
        <v>0</v>
      </c>
    </row>
    <row r="583" spans="1:14" hidden="true">
      <c r="D583" s="236" t="s">
        <v>291</v>
      </c>
      <c r="E583" s="242"/>
      <c r="F583" s="242"/>
      <c r="G583" s="242">
        <f>SUM(E583,F583)</f>
        <v>0</v>
      </c>
    </row>
    <row r="584" spans="1:14" hidden="true">
      <c r="D584" s="236" t="s">
        <v>323</v>
      </c>
      <c r="E584" s="242"/>
      <c r="F584" s="242"/>
      <c r="G584" s="242">
        <f>SUM(E584,F584)</f>
        <v>0</v>
      </c>
    </row>
    <row r="585" spans="1:14" hidden="true">
      <c r="D585" s="236" t="s">
        <v>293</v>
      </c>
      <c r="E585" s="267"/>
      <c r="F585" s="267"/>
      <c r="G585" s="267">
        <f>SUM(E585,F585)</f>
        <v>0</v>
      </c>
    </row>
    <row r="586" spans="1:14" hidden="true">
      <c r="D586" s="236" t="s">
        <v>324</v>
      </c>
      <c r="E586" s="267">
        <f>BDFE!$F$1272/1000</f>
        <v>0</v>
      </c>
      <c r="F586" s="267">
        <f>BDFE!$F$1207/1000</f>
        <v>0</v>
      </c>
      <c r="G586" s="267">
        <f>SUM(E586,F586)</f>
        <v>0</v>
      </c>
    </row>
    <row r="587" spans="1:14">
      <c r="D587" s="236" t="s">
        <v>325</v>
      </c>
      <c r="E587" s="245">
        <f>(BDFE!F1260+BDFE!F1263+BDFE!F1264+BDFE!F1266+BDFE!F1268+BDFE!F1271-BDFE!F1220)/1000</f>
        <v>0</v>
      </c>
      <c r="F587" s="242">
        <f>(BDFE!F1195+BDFE!F1198+BDFE!F1199+BDFE!F1201+BDFE!F1203+BDFE!F1206-BDFE!F1155)/1000</f>
        <v>0</v>
      </c>
      <c r="G587" s="242">
        <f>SUM(E587,F587)</f>
        <v>0</v>
      </c>
    </row>
    <row r="588" spans="1:14">
      <c r="D588" s="235" t="s">
        <v>294</v>
      </c>
      <c r="E588" s="239">
        <f>SUM(E573:E587)</f>
        <v>0</v>
      </c>
      <c r="F588" s="239">
        <f>SUM(F573:F587)</f>
        <v>0</v>
      </c>
      <c r="G588" s="239">
        <f>SUM(G573:G587)</f>
        <v>0</v>
      </c>
    </row>
    <row r="589" spans="1:14">
      <c r="D589" s="236"/>
      <c r="E589" s="255"/>
      <c r="F589" s="255"/>
      <c r="G589" s="255"/>
    </row>
    <row r="590" spans="1:14">
      <c r="D590" s="235" t="s">
        <v>295</v>
      </c>
      <c r="E590" s="268">
        <f>E547+E561+E570+E588</f>
        <v>-1101.30396</v>
      </c>
      <c r="F590" s="268">
        <f>F547+F561+F570+F588</f>
        <v>-396.80696</v>
      </c>
      <c r="G590" s="268">
        <f>G547+G561+G570+G588</f>
        <v>-1498.11092</v>
      </c>
    </row>
    <row r="591" spans="1:14">
      <c r="D591" s="237" t="s">
        <v>296</v>
      </c>
      <c r="E591" s="239">
        <f>BDBG!$I$1084/1000</f>
        <v>10590.63274</v>
      </c>
      <c r="F591" s="239">
        <f>BDBG!$I$1030/1000</f>
        <v>1856.41224</v>
      </c>
      <c r="G591" s="239">
        <f>SUM(E591,F591)</f>
        <v>12447.04498</v>
      </c>
    </row>
    <row r="592" spans="1:14">
      <c r="D592" s="237" t="s">
        <v>297</v>
      </c>
      <c r="E592" s="239">
        <f>SUM(E590:E591)</f>
        <v>9489.32878</v>
      </c>
      <c r="F592" s="239">
        <f>SUM(F590:F591)</f>
        <v>1459.60528</v>
      </c>
      <c r="G592" s="239">
        <f>SUM(G590:G591)</f>
        <v>10948.93406</v>
      </c>
    </row>
    <row r="599" spans="1:14">
      <c r="C599" t="s">
        <v>327</v>
      </c>
    </row>
    <row r="600" spans="1:14">
      <c r="D600" s="25"/>
      <c r="E600" s="269"/>
      <c r="F600" s="269"/>
      <c r="G600" s="269"/>
      <c r="H600" s="269"/>
      <c r="I600" s="269" t="s">
        <v>155</v>
      </c>
      <c r="J600" s="269"/>
      <c r="K600" s="270"/>
    </row>
    <row r="601" spans="1:14">
      <c r="D601" s="7"/>
      <c r="E601" s="28" t="s">
        <v>15</v>
      </c>
      <c r="F601" s="28" t="s">
        <v>16</v>
      </c>
      <c r="G601" s="28" t="s">
        <v>17</v>
      </c>
      <c r="H601" s="28" t="s">
        <v>18</v>
      </c>
      <c r="I601" s="28" t="s">
        <v>19</v>
      </c>
      <c r="J601" s="28" t="s">
        <v>20</v>
      </c>
    </row>
    <row r="602" spans="1:14">
      <c r="D602" s="4" t="s">
        <v>328</v>
      </c>
      <c r="E602" s="14">
        <f>$K$100</f>
        <v>4940.23444</v>
      </c>
      <c r="F602" s="14">
        <f>I196*TC_MES</f>
        <v>2383.383668328</v>
      </c>
      <c r="G602" s="14">
        <f>J293*TC_MES</f>
        <v>1407.478820904</v>
      </c>
      <c r="H602" s="14">
        <f>J390</f>
        <v>8564.71617</v>
      </c>
      <c r="I602" s="14">
        <f>G493</f>
        <v>2569.62722</v>
      </c>
      <c r="J602" s="14">
        <f>SUM(E602,F602,G602,H602,I602)</f>
        <v>19865.440319232</v>
      </c>
    </row>
    <row r="603" spans="1:14">
      <c r="D603" s="7"/>
      <c r="E603" s="30"/>
      <c r="F603" s="30"/>
      <c r="G603" s="30"/>
      <c r="H603" s="30"/>
      <c r="I603" s="30"/>
      <c r="J603" s="30"/>
    </row>
    <row r="604" spans="1:14">
      <c r="D604" s="4" t="s">
        <v>265</v>
      </c>
      <c r="E604" s="30"/>
      <c r="F604" s="30"/>
      <c r="G604" s="30"/>
      <c r="H604" s="30"/>
      <c r="I604" s="30"/>
      <c r="J604" s="30"/>
    </row>
    <row r="605" spans="1:14">
      <c r="D605" s="7" t="s">
        <v>329</v>
      </c>
      <c r="E605" s="8">
        <f>K103</f>
        <v>6679.1234</v>
      </c>
      <c r="F605" s="8">
        <f>I199*TC_MES</f>
        <v>-1165.165289856</v>
      </c>
      <c r="G605" s="8">
        <f>J296*TC_MES</f>
        <v>-6573.06</v>
      </c>
      <c r="H605" s="8">
        <f>J393</f>
        <v>-5509.12098</v>
      </c>
      <c r="I605" s="8">
        <f>G496</f>
        <v>-2016.96716</v>
      </c>
      <c r="J605" s="8">
        <f>SUM(E605,F605,G605,H605,I605)</f>
        <v>-8585.190029856</v>
      </c>
    </row>
    <row r="606" spans="1:14">
      <c r="D606" s="7" t="s">
        <v>330</v>
      </c>
      <c r="E606" s="11">
        <f>K104</f>
        <v>-3707.42049</v>
      </c>
      <c r="F606" s="11">
        <f>I200*TC_MES</f>
        <v>-6277.86994284</v>
      </c>
      <c r="G606" s="11">
        <f>J297*TC_MES</f>
        <v>-13072.8051</v>
      </c>
      <c r="H606" s="11">
        <f>J394</f>
        <v>-15663.9861</v>
      </c>
      <c r="I606" s="11">
        <f>G497</f>
        <v>-1720.7575</v>
      </c>
      <c r="J606" s="11">
        <f>SUM(E606,F606,G606,H606,I606)</f>
        <v>-40442.83913284</v>
      </c>
    </row>
    <row r="607" spans="1:14">
      <c r="D607" s="7" t="s">
        <v>331</v>
      </c>
      <c r="E607" s="11">
        <f>K105</f>
        <v>1476.04904</v>
      </c>
      <c r="F607" s="11">
        <f>I201*TC_MES</f>
        <v>111.6004464</v>
      </c>
      <c r="G607" s="11">
        <f>J298*TC_MES</f>
        <v>0</v>
      </c>
      <c r="H607" s="11">
        <f>J395</f>
        <v>-6790.97367</v>
      </c>
      <c r="I607" s="11">
        <f>G498</f>
        <v>2154.03081</v>
      </c>
      <c r="J607" s="11">
        <f>SUM(E607,F607,G607,H607,I607)</f>
        <v>-3049.2933736</v>
      </c>
    </row>
    <row r="608" spans="1:14">
      <c r="D608" s="7" t="s">
        <v>332</v>
      </c>
      <c r="E608" s="11">
        <f>K106</f>
        <v>-3848.86221</v>
      </c>
      <c r="F608" s="11">
        <f>I202*TC_MES</f>
        <v>-394.633983024</v>
      </c>
      <c r="G608" s="11">
        <f>J299*TC_MES</f>
        <v>24.719155056</v>
      </c>
      <c r="H608" s="11">
        <f>J396</f>
        <v>8613.32906</v>
      </c>
      <c r="I608" s="11">
        <f>G499</f>
        <v>-359.32364</v>
      </c>
      <c r="J608" s="11">
        <f>SUM(E608,F608,G608,H608,I608)</f>
        <v>4035.228382032</v>
      </c>
    </row>
    <row r="609" spans="1:14">
      <c r="D609" s="7" t="s">
        <v>333</v>
      </c>
      <c r="E609" s="11">
        <f>K107</f>
        <v>-6454.78034</v>
      </c>
      <c r="F609" s="11">
        <f>I203*TC_MES</f>
        <v>397.228420368</v>
      </c>
      <c r="G609" s="11">
        <f>J300*TC_MES</f>
        <v>0</v>
      </c>
      <c r="H609" s="11">
        <f>J397</f>
        <v>8460.06192</v>
      </c>
      <c r="I609" s="11">
        <f>G502</f>
        <v>-1457</v>
      </c>
      <c r="J609" s="11">
        <f>SUM(E609,F609,G609,H609,I609)</f>
        <v>945.510000368</v>
      </c>
    </row>
    <row r="610" spans="1:14">
      <c r="D610" s="7" t="s">
        <v>334</v>
      </c>
      <c r="E610" s="11">
        <f>K108</f>
        <v>4598.7551</v>
      </c>
      <c r="F610" s="11">
        <f>I204*TC_MES</f>
        <v>-18807.54916248</v>
      </c>
      <c r="G610" s="11">
        <f>J301*TC_MES</f>
        <v>-3714.752117376</v>
      </c>
      <c r="H610" s="11">
        <f>J398</f>
        <v>8982.6447</v>
      </c>
      <c r="I610" s="11">
        <f>G503</f>
        <v>-821.52321</v>
      </c>
      <c r="J610" s="11">
        <f>SUM(E610,F610,G610,H610,I610)</f>
        <v>-9762.424689856</v>
      </c>
    </row>
    <row r="611" spans="1:14">
      <c r="D611" s="7" t="s">
        <v>335</v>
      </c>
      <c r="E611" s="11">
        <f>K109</f>
        <v>-4804.2253</v>
      </c>
      <c r="F611" s="11">
        <f>I205*TC_MES</f>
        <v>-463.532797944</v>
      </c>
      <c r="G611" s="11">
        <f>J302*TC_MES</f>
        <v>-386.035207056</v>
      </c>
      <c r="H611" s="11">
        <f>J399</f>
        <v>451.69481</v>
      </c>
      <c r="I611" s="11">
        <f>G504</f>
        <v>-513.5721</v>
      </c>
      <c r="J611" s="11">
        <f>SUM(E611,F611,G611,H611,I611)</f>
        <v>-5715.670595</v>
      </c>
    </row>
    <row r="612" spans="1:14">
      <c r="D612" s="4" t="s">
        <v>265</v>
      </c>
      <c r="E612" s="14">
        <f>K110</f>
        <v>-6061.3608</v>
      </c>
      <c r="F612" s="14">
        <f>I206*TC_MES</f>
        <v>-26599.922309376</v>
      </c>
      <c r="G612" s="14">
        <f>J303*TC_MES</f>
        <v>-23721.933269376</v>
      </c>
      <c r="H612" s="259">
        <f>J400</f>
        <v>-1456.35026</v>
      </c>
      <c r="I612" s="14">
        <f>G507</f>
        <v>-4067.73814</v>
      </c>
      <c r="J612" s="14">
        <f>SUM(E612,F612,G612,H612,I612)</f>
        <v>-61907.304778752</v>
      </c>
    </row>
    <row r="613" spans="1:14">
      <c r="D613" s="7"/>
      <c r="E613" s="202"/>
      <c r="F613" s="202"/>
      <c r="G613" s="202"/>
      <c r="H613" s="202"/>
      <c r="I613" s="202"/>
      <c r="J613" s="202"/>
    </row>
    <row r="614" spans="1:14">
      <c r="D614" s="4" t="s">
        <v>336</v>
      </c>
      <c r="E614" s="30"/>
      <c r="F614" s="30"/>
      <c r="G614" s="30"/>
      <c r="H614" s="30"/>
      <c r="I614" s="30"/>
      <c r="J614" s="30"/>
    </row>
    <row r="615" spans="1:14">
      <c r="D615" s="7" t="s">
        <v>337</v>
      </c>
      <c r="E615" s="8">
        <f>K113</f>
        <v>3641.29632</v>
      </c>
      <c r="F615" s="8">
        <f>I209*TC_MES</f>
        <v>0</v>
      </c>
      <c r="G615" s="8">
        <f>J306*TC_MES</f>
        <v>7576.959206592</v>
      </c>
      <c r="H615" s="8">
        <f>J403</f>
        <v>-436.34719</v>
      </c>
      <c r="I615" s="8">
        <f>G510</f>
        <v>0</v>
      </c>
      <c r="J615" s="8">
        <f>SUM(E615,F615,G615,H615,I615)</f>
        <v>10781.908336592</v>
      </c>
    </row>
    <row r="616" spans="1:14">
      <c r="D616" s="7" t="s">
        <v>338</v>
      </c>
      <c r="E616" s="11">
        <f>K114</f>
        <v>-0.00024</v>
      </c>
      <c r="F616" s="11">
        <f>I210*TC_MES</f>
        <v>0</v>
      </c>
      <c r="G616" s="11">
        <f>J307*TC_MES</f>
        <v>0</v>
      </c>
      <c r="H616" s="11">
        <f>J404</f>
        <v>69</v>
      </c>
      <c r="I616" s="11">
        <f>G511</f>
        <v>0</v>
      </c>
      <c r="J616" s="11">
        <f>SUM(E616,F616,G616,H616,I616)</f>
        <v>68.99976</v>
      </c>
    </row>
    <row r="617" spans="1:14">
      <c r="D617" s="7" t="s">
        <v>339</v>
      </c>
      <c r="E617" s="11">
        <f>K115</f>
        <v>0</v>
      </c>
      <c r="F617" s="11">
        <f>I211*TC_MES</f>
        <v>0</v>
      </c>
      <c r="G617" s="11">
        <f>J308*TC_MES</f>
        <v>0</v>
      </c>
      <c r="H617" s="11">
        <f>J405</f>
        <v>0</v>
      </c>
      <c r="I617" s="11">
        <f>G512</f>
        <v>0</v>
      </c>
      <c r="J617" s="11">
        <f>SUM(E617,F617,G617,H617,I617)</f>
        <v>0</v>
      </c>
    </row>
    <row r="618" spans="1:14">
      <c r="D618" s="7" t="s">
        <v>340</v>
      </c>
      <c r="E618" s="11">
        <f>K116</f>
        <v>0</v>
      </c>
      <c r="F618" s="11">
        <f>I212*TC_MES</f>
        <v>0</v>
      </c>
      <c r="G618" s="11">
        <f>J309*TC_MES</f>
        <v>0</v>
      </c>
      <c r="H618" s="11">
        <f>J406</f>
        <v>0</v>
      </c>
      <c r="I618" s="11">
        <f>G513</f>
        <v>0</v>
      </c>
      <c r="J618" s="11">
        <f>SUM(E618,F618,G618,H618,I618)</f>
        <v>0</v>
      </c>
    </row>
    <row r="619" spans="1:14">
      <c r="D619" s="7" t="s">
        <v>278</v>
      </c>
      <c r="E619" s="11">
        <f>K117</f>
        <v>0</v>
      </c>
      <c r="F619" s="11">
        <f>I213*TC_MES</f>
        <v>0</v>
      </c>
      <c r="G619" s="11">
        <f>J310*TC_MES</f>
        <v>0</v>
      </c>
      <c r="H619" s="11">
        <f>J407</f>
        <v>0</v>
      </c>
      <c r="I619" s="11">
        <f>G514</f>
        <v>0</v>
      </c>
      <c r="J619" s="11">
        <f>SUM(E619,F619,G619,H619,I619)</f>
        <v>0</v>
      </c>
    </row>
    <row r="620" spans="1:14">
      <c r="D620" s="7" t="s">
        <v>341</v>
      </c>
      <c r="E620" s="11">
        <f>K118</f>
        <v>0</v>
      </c>
      <c r="F620" s="11">
        <f>I214*TC_MES</f>
        <v>0</v>
      </c>
      <c r="G620" s="11">
        <f>J311*TC_MES</f>
        <v>0</v>
      </c>
      <c r="H620" s="11">
        <f>J408</f>
        <v>0</v>
      </c>
      <c r="I620" s="11">
        <f>G515</f>
        <v>0</v>
      </c>
      <c r="J620" s="11">
        <f>SUM(E620,F620,G620,H620,I620)</f>
        <v>0</v>
      </c>
    </row>
    <row r="621" spans="1:14">
      <c r="D621" s="4" t="s">
        <v>342</v>
      </c>
      <c r="E621" s="14">
        <f>K119</f>
        <v>3641.29608</v>
      </c>
      <c r="F621" s="14">
        <f>I215*TC_MES</f>
        <v>0</v>
      </c>
      <c r="G621" s="14">
        <f>J312*TC_MES</f>
        <v>7576.959206592</v>
      </c>
      <c r="H621" s="14">
        <f>J409</f>
        <v>-367.34719</v>
      </c>
      <c r="I621" s="14">
        <f>G516</f>
        <v>0</v>
      </c>
      <c r="J621" s="14">
        <f>SUM(E621,F621,G621,H621,I621)</f>
        <v>10850.908096592</v>
      </c>
    </row>
    <row r="622" spans="1:14">
      <c r="D622" s="4"/>
      <c r="E622" s="209"/>
      <c r="F622" s="209"/>
      <c r="G622" s="209"/>
      <c r="H622" s="209"/>
      <c r="I622" s="209"/>
      <c r="J622" s="209"/>
    </row>
    <row r="623" spans="1:14">
      <c r="D623" s="4" t="s">
        <v>343</v>
      </c>
      <c r="E623" s="30"/>
      <c r="F623" s="30"/>
      <c r="G623" s="30"/>
      <c r="H623" s="30"/>
      <c r="I623" s="30"/>
      <c r="J623" s="30"/>
    </row>
    <row r="624" spans="1:14">
      <c r="D624" s="7" t="s">
        <v>344</v>
      </c>
      <c r="E624" s="8">
        <f>K122</f>
        <v>0</v>
      </c>
      <c r="F624" s="8">
        <f>I218*TC_MES</f>
        <v>0</v>
      </c>
      <c r="G624" s="8">
        <f>J315*TC_MES</f>
        <v>0</v>
      </c>
      <c r="H624" s="8">
        <f>J412</f>
        <v>0</v>
      </c>
      <c r="I624" s="8">
        <f>G520</f>
        <v>0</v>
      </c>
      <c r="J624" s="8">
        <f>SUM(E624,F624,G624,H624,I624)</f>
        <v>0</v>
      </c>
    </row>
    <row r="625" spans="1:14">
      <c r="D625" s="7" t="s">
        <v>345</v>
      </c>
      <c r="E625" s="11">
        <f>K123</f>
        <v>-25.58463</v>
      </c>
      <c r="F625" s="11">
        <f>I219*TC_MES</f>
        <v>-184.196557008</v>
      </c>
      <c r="G625" s="11">
        <f>J316*TC_MES</f>
        <v>0</v>
      </c>
      <c r="H625" s="11">
        <f>J413</f>
        <v>-867.02955</v>
      </c>
      <c r="I625" s="11">
        <f>G521</f>
        <v>0</v>
      </c>
      <c r="J625" s="11">
        <f>SUM(E625,F625,G625,H625,I625)</f>
        <v>-1076.810737008</v>
      </c>
    </row>
    <row r="626" spans="1:14">
      <c r="D626" s="7" t="s">
        <v>346</v>
      </c>
      <c r="E626" s="11">
        <f>K124</f>
        <v>-85.96551</v>
      </c>
      <c r="F626" s="11">
        <f>I220*TC_MES</f>
        <v>0</v>
      </c>
      <c r="G626" s="11">
        <f>J317*TC_MES</f>
        <v>0</v>
      </c>
      <c r="H626" s="11">
        <f>J414</f>
        <v>332.61872</v>
      </c>
      <c r="I626" s="11">
        <f>G522</f>
        <v>0</v>
      </c>
      <c r="J626" s="11">
        <f>SUM(E626,F626,G626,H626,I626)</f>
        <v>246.65321</v>
      </c>
    </row>
    <row r="627" spans="1:14">
      <c r="D627" s="7" t="s">
        <v>347</v>
      </c>
      <c r="E627" s="11">
        <f>K125</f>
        <v>0</v>
      </c>
      <c r="F627" s="11">
        <f>I221*TC_MES</f>
        <v>0</v>
      </c>
      <c r="G627" s="11">
        <f>J318*TC_MES</f>
        <v>0</v>
      </c>
      <c r="H627" s="11">
        <f>J415</f>
        <v>0</v>
      </c>
      <c r="I627" s="11">
        <f>G523</f>
        <v>0</v>
      </c>
      <c r="J627" s="11">
        <f>SUM(E627,F627,G627,H627,I627)</f>
        <v>0</v>
      </c>
    </row>
    <row r="628" spans="1:14">
      <c r="D628" s="7" t="s">
        <v>348</v>
      </c>
      <c r="E628" s="11">
        <f>K126</f>
        <v>0</v>
      </c>
      <c r="F628" s="11">
        <f>I222*TC_MES</f>
        <v>0</v>
      </c>
      <c r="G628" s="11">
        <f>J319*TC_MES</f>
        <v>0</v>
      </c>
      <c r="H628" s="11">
        <f>J416</f>
        <v>-9.98475</v>
      </c>
      <c r="I628" s="11">
        <f>G524</f>
        <v>0</v>
      </c>
      <c r="J628" s="11">
        <f>SUM(E628,F628,G628,H628,I628)</f>
        <v>-9.98475</v>
      </c>
    </row>
    <row r="629" spans="1:14">
      <c r="D629" s="7" t="s">
        <v>349</v>
      </c>
      <c r="E629" s="11">
        <f>K127</f>
        <v>0</v>
      </c>
      <c r="F629" s="11">
        <f>I223*TC_MES</f>
        <v>0</v>
      </c>
      <c r="G629" s="11">
        <f>J320*TC_MES</f>
        <v>0</v>
      </c>
      <c r="H629" s="11">
        <f>J417</f>
        <v>0</v>
      </c>
      <c r="I629" s="11">
        <f>G525</f>
        <v>0</v>
      </c>
      <c r="J629" s="11">
        <f>SUM(E629,F629,G629,H629,I629)</f>
        <v>0</v>
      </c>
    </row>
    <row r="630" spans="1:14">
      <c r="D630" s="7" t="s">
        <v>350</v>
      </c>
      <c r="E630" s="11">
        <f>K128</f>
        <v>0</v>
      </c>
      <c r="F630" s="11">
        <f>I224*TC_MES</f>
        <v>0</v>
      </c>
      <c r="G630" s="11">
        <f>J321*TC_MES</f>
        <v>0</v>
      </c>
      <c r="H630" s="11">
        <f>J418</f>
        <v>0</v>
      </c>
      <c r="I630" s="11">
        <f>G526</f>
        <v>0</v>
      </c>
      <c r="J630" s="11">
        <f>SUM(E630,F630,G630,H630,I630)</f>
        <v>0</v>
      </c>
    </row>
    <row r="631" spans="1:14">
      <c r="D631" s="7" t="s">
        <v>351</v>
      </c>
      <c r="E631" s="11">
        <f>K129</f>
        <v>26.27135</v>
      </c>
      <c r="F631" s="11">
        <f>I225*TC_MES</f>
        <v>-10.1124</v>
      </c>
      <c r="G631" s="11">
        <f>J322*TC_MES</f>
        <v>0</v>
      </c>
      <c r="H631" s="11">
        <f>J419</f>
        <v>0</v>
      </c>
      <c r="I631" s="11">
        <f>G527</f>
        <v>0</v>
      </c>
      <c r="J631" s="11">
        <f>SUM(E631,F631,G631,H631,I631)</f>
        <v>16.15895</v>
      </c>
    </row>
    <row r="632" spans="1:14" hidden="true">
      <c r="D632" s="7" t="s">
        <v>352</v>
      </c>
      <c r="E632" s="11">
        <f>K130</f>
        <v>0</v>
      </c>
      <c r="F632" s="11">
        <f>I226*TC_MES</f>
        <v>0</v>
      </c>
      <c r="G632" s="11">
        <f>J323*TC_MES</f>
        <v>0</v>
      </c>
      <c r="H632" s="11">
        <f>J420</f>
        <v>0</v>
      </c>
      <c r="I632" s="11">
        <f>G528</f>
        <v>0</v>
      </c>
      <c r="J632" s="11">
        <f>SUM(E632,F632,G632,H632,I632)</f>
        <v>0</v>
      </c>
    </row>
    <row r="633" spans="1:14">
      <c r="D633" s="7" t="s">
        <v>353</v>
      </c>
      <c r="E633" s="11">
        <f>K131</f>
        <v>-570.53612</v>
      </c>
      <c r="F633" s="11">
        <f>I227*TC_MES</f>
        <v>-717.629297472</v>
      </c>
      <c r="G633" s="11">
        <f>J324*TC_MES</f>
        <v>0</v>
      </c>
      <c r="H633" s="11">
        <f>J421</f>
        <v>0</v>
      </c>
      <c r="I633" s="11">
        <f>G529</f>
        <v>0</v>
      </c>
      <c r="J633" s="11">
        <f>SUM(E633,F633,G633,H633,I633)</f>
        <v>-1288.165417472</v>
      </c>
    </row>
    <row r="634" spans="1:14" hidden="true">
      <c r="D634" s="7" t="s">
        <v>354</v>
      </c>
      <c r="E634" s="11">
        <f>K132</f>
        <v>0</v>
      </c>
      <c r="F634" s="11">
        <f>I228*TC_MES</f>
        <v>0</v>
      </c>
      <c r="G634" s="11">
        <f>J325*TC_MES</f>
        <v>0</v>
      </c>
      <c r="H634" s="11">
        <f>J422</f>
        <v>0</v>
      </c>
      <c r="I634" s="11">
        <f>G530</f>
        <v>0</v>
      </c>
      <c r="J634" s="11">
        <f>SUM(E634,F634,G634,H634,I634)</f>
        <v>0</v>
      </c>
    </row>
    <row r="635" spans="1:14">
      <c r="D635" s="7" t="s">
        <v>355</v>
      </c>
      <c r="E635" s="11">
        <f>K133</f>
        <v>0</v>
      </c>
      <c r="F635" s="11">
        <f>I229*TC_MES</f>
        <v>0</v>
      </c>
      <c r="G635" s="11">
        <f>J326*TC_MES</f>
        <v>0</v>
      </c>
      <c r="H635" s="11">
        <f>J423</f>
        <v>0</v>
      </c>
      <c r="I635" s="11">
        <f>G531</f>
        <v>0</v>
      </c>
      <c r="J635" s="11">
        <f>SUM(E635,F635,G635,H635,I635)</f>
        <v>0</v>
      </c>
    </row>
    <row r="636" spans="1:14">
      <c r="D636" s="7" t="s">
        <v>313</v>
      </c>
      <c r="E636" s="11">
        <v>0</v>
      </c>
      <c r="F636" s="11">
        <v>0</v>
      </c>
      <c r="G636" s="11">
        <v>0</v>
      </c>
      <c r="H636" s="11">
        <f>J424</f>
        <v>0</v>
      </c>
      <c r="I636" s="11">
        <f>G532</f>
        <v>0</v>
      </c>
      <c r="J636" s="11">
        <f>SUM(E636,F636,G636,H636,I636)</f>
        <v>0</v>
      </c>
    </row>
    <row r="637" spans="1:14" hidden="true">
      <c r="D637" s="7" t="s">
        <v>314</v>
      </c>
      <c r="E637" s="11"/>
      <c r="F637" s="11"/>
      <c r="G637" s="11"/>
      <c r="H637" s="11">
        <f>J425</f>
        <v>0</v>
      </c>
      <c r="I637" s="11"/>
      <c r="J637" s="11">
        <f>SUM(E637,F637,G637,H637,I637)</f>
        <v>0</v>
      </c>
    </row>
    <row r="638" spans="1:14">
      <c r="D638" s="7" t="s">
        <v>31</v>
      </c>
      <c r="E638" s="34">
        <f>K134</f>
        <v>-1.1641532182693E-13</v>
      </c>
      <c r="F638" s="34">
        <f>I230*TC_MES</f>
        <v>0</v>
      </c>
      <c r="G638" s="34">
        <f>J327*TC_MES</f>
        <v>0</v>
      </c>
      <c r="H638" s="34">
        <f>J426</f>
        <v>-255.3931</v>
      </c>
      <c r="I638" s="34">
        <f>G533</f>
        <v>0</v>
      </c>
      <c r="J638" s="34">
        <f>SUM(E638,F638,G638,H638,I638)</f>
        <v>-255.3931</v>
      </c>
    </row>
    <row r="639" spans="1:14">
      <c r="D639" s="4" t="s">
        <v>356</v>
      </c>
      <c r="E639" s="14">
        <f>K135</f>
        <v>-655.81491</v>
      </c>
      <c r="F639" s="20">
        <f>I231*TC_MES</f>
        <v>-911.93825448</v>
      </c>
      <c r="G639" s="20">
        <f>J328*TC_MES</f>
        <v>0</v>
      </c>
      <c r="H639" s="20">
        <f>J427</f>
        <v>-799.78868</v>
      </c>
      <c r="I639" s="20">
        <f>G534</f>
        <v>0</v>
      </c>
      <c r="J639" s="20">
        <f>SUM(E639,F639,G639,H639,I639)</f>
        <v>-2367.54184448</v>
      </c>
    </row>
    <row r="640" spans="1:14">
      <c r="D640" s="4" t="s">
        <v>157</v>
      </c>
      <c r="E640" s="203"/>
      <c r="F640" s="271"/>
      <c r="G640" s="203"/>
      <c r="H640" s="20">
        <f>J428</f>
        <v>0</v>
      </c>
      <c r="I640" s="203"/>
      <c r="J640" s="20">
        <f>SUM(E640,F640,G640,H640,I640)</f>
        <v>0</v>
      </c>
    </row>
    <row r="641" spans="1:14">
      <c r="D641" s="25"/>
      <c r="E641" s="25"/>
      <c r="F641" s="25"/>
      <c r="G641" s="40"/>
      <c r="H641" s="25"/>
      <c r="I641" s="40"/>
      <c r="J641" s="25"/>
    </row>
    <row r="642" spans="1:14">
      <c r="D642" s="4" t="s">
        <v>357</v>
      </c>
      <c r="E642" s="14">
        <f>K137</f>
        <v>1864.35481</v>
      </c>
      <c r="F642" s="14">
        <f>I233*TC_MES</f>
        <v>-25128.476895528</v>
      </c>
      <c r="G642" s="14">
        <f>J330*TC_MES</f>
        <v>-14737.49524188</v>
      </c>
      <c r="H642" s="14">
        <f>J430</f>
        <v>5941.23004</v>
      </c>
      <c r="I642" s="14">
        <f>G536</f>
        <v>-1498.11092</v>
      </c>
      <c r="J642" s="14">
        <f>SUM(E642,F642,G642,H642,I642)</f>
        <v>-33558.498207408</v>
      </c>
    </row>
    <row r="643" spans="1:14">
      <c r="D643" s="4" t="s">
        <v>296</v>
      </c>
      <c r="E643" s="20">
        <f>K138</f>
        <v>17416.15271</v>
      </c>
      <c r="F643" s="14">
        <f>I234*TC_MES</f>
        <v>35637.264166464</v>
      </c>
      <c r="G643" s="14">
        <f>J331*TC_MES</f>
        <v>16821.65481444</v>
      </c>
      <c r="H643" s="14">
        <f>J431</f>
        <v>49091.55746</v>
      </c>
      <c r="I643" s="14">
        <f>G537</f>
        <v>12447.04498</v>
      </c>
      <c r="J643" s="14">
        <f>SUM(E643,F643,G643,H643,I643)</f>
        <v>131413.6741309</v>
      </c>
    </row>
    <row r="644" spans="1:14">
      <c r="D644" s="4" t="s">
        <v>297</v>
      </c>
      <c r="E644" s="14">
        <f>K139</f>
        <v>19280.50752</v>
      </c>
      <c r="F644" s="14">
        <f>I235*TC_MES</f>
        <v>10508.787270936</v>
      </c>
      <c r="G644" s="14">
        <f>J332*TC_MES</f>
        <v>2084.15957256</v>
      </c>
      <c r="H644" s="14">
        <f>J432</f>
        <v>55032.7875</v>
      </c>
      <c r="I644" s="14">
        <f>G538</f>
        <v>10948.93406</v>
      </c>
      <c r="J644" s="14">
        <f>J642+J643</f>
        <v>97855.175923496</v>
      </c>
    </row>
    <row r="645" spans="1:14">
      <c r="I645" s="201"/>
    </row>
    <row r="646" spans="1:14">
      <c r="I646" s="201"/>
    </row>
    <row r="647" spans="1:14">
      <c r="I647" s="201"/>
    </row>
    <row r="650" spans="1:14">
      <c r="D650" s="25"/>
      <c r="E650" s="269"/>
      <c r="F650" s="25"/>
      <c r="G650" s="25"/>
      <c r="H650" s="269" t="s">
        <v>299</v>
      </c>
      <c r="I650" s="25"/>
      <c r="J650" s="25"/>
    </row>
    <row r="651" spans="1:14">
      <c r="D651" s="7"/>
      <c r="E651" s="28" t="s">
        <v>15</v>
      </c>
      <c r="F651" s="28" t="s">
        <v>16</v>
      </c>
      <c r="G651" s="28" t="s">
        <v>17</v>
      </c>
      <c r="H651" s="28" t="s">
        <v>18</v>
      </c>
      <c r="I651" s="28" t="s">
        <v>19</v>
      </c>
      <c r="J651" s="28" t="s">
        <v>20</v>
      </c>
    </row>
    <row r="652" spans="1:14">
      <c r="D652" s="26" t="s">
        <v>264</v>
      </c>
      <c r="E652" s="14">
        <f>$K$148</f>
        <v>4940.23444</v>
      </c>
      <c r="F652" s="14">
        <f>I244*TC_MES</f>
        <v>2383.383668328</v>
      </c>
      <c r="G652" s="14">
        <f>J341*TC_MES</f>
        <v>1407.478820904</v>
      </c>
      <c r="H652" s="14">
        <f>J441</f>
        <v>8564.71617</v>
      </c>
      <c r="I652" s="14">
        <f>G547</f>
        <v>2569.62722</v>
      </c>
      <c r="J652" s="14">
        <f>SUM(E652:I652)</f>
        <v>19865.440319232</v>
      </c>
    </row>
    <row r="653" spans="1:14">
      <c r="D653" s="1"/>
      <c r="E653" s="30"/>
      <c r="F653" s="30"/>
      <c r="G653" s="30"/>
      <c r="H653" s="30"/>
      <c r="I653" s="30"/>
      <c r="J653" s="30"/>
    </row>
    <row r="654" spans="1:14">
      <c r="D654" s="26" t="s">
        <v>265</v>
      </c>
      <c r="E654" s="30"/>
      <c r="F654" s="30"/>
      <c r="G654" s="30"/>
      <c r="H654" s="30"/>
      <c r="I654" s="30"/>
      <c r="J654" s="30"/>
    </row>
    <row r="655" spans="1:14">
      <c r="D655" s="1" t="s">
        <v>266</v>
      </c>
      <c r="E655" s="8">
        <f>K151</f>
        <v>6679.1234</v>
      </c>
      <c r="F655" s="8">
        <f>I247*TC_MES</f>
        <v>-1165.165289856</v>
      </c>
      <c r="G655" s="8">
        <f>J344*TC_MES</f>
        <v>-6573.06</v>
      </c>
      <c r="H655" s="194">
        <f>J444</f>
        <v>-5509.12098</v>
      </c>
      <c r="I655" s="8">
        <f>G550</f>
        <v>-2016.96716</v>
      </c>
      <c r="J655" s="8">
        <f>SUM(E655:I655)</f>
        <v>-8585.190029856</v>
      </c>
    </row>
    <row r="656" spans="1:14">
      <c r="D656" s="1" t="s">
        <v>267</v>
      </c>
      <c r="E656" s="11">
        <f>K152</f>
        <v>-3707.42049</v>
      </c>
      <c r="F656" s="11">
        <f>I248*TC_MES</f>
        <v>-6277.86994284</v>
      </c>
      <c r="G656" s="11">
        <f>J345*TC_MES</f>
        <v>-13072.8051</v>
      </c>
      <c r="H656" s="198">
        <f>J445</f>
        <v>-15663.9861</v>
      </c>
      <c r="I656" s="11">
        <f>G551</f>
        <v>-1720.7575</v>
      </c>
      <c r="J656" s="11">
        <f>SUM(E656:I656)</f>
        <v>-40442.83913284</v>
      </c>
    </row>
    <row r="657" spans="1:14">
      <c r="D657" s="1" t="s">
        <v>268</v>
      </c>
      <c r="E657" s="11">
        <f>K153</f>
        <v>1476.04904</v>
      </c>
      <c r="F657" s="11">
        <f>I249*TC_MES</f>
        <v>111.6004464</v>
      </c>
      <c r="G657" s="11">
        <f>J346*TC_MES</f>
        <v>0</v>
      </c>
      <c r="H657" s="198">
        <f>J446</f>
        <v>-6790.97367</v>
      </c>
      <c r="I657" s="11">
        <f>G552</f>
        <v>2154.03081</v>
      </c>
      <c r="J657" s="11">
        <f>SUM(E657:I657)</f>
        <v>-3049.2933736</v>
      </c>
    </row>
    <row r="658" spans="1:14">
      <c r="D658" s="1" t="s">
        <v>269</v>
      </c>
      <c r="E658" s="11">
        <f>K154</f>
        <v>-3848.86221</v>
      </c>
      <c r="F658" s="11">
        <f>I250*TC_MES</f>
        <v>-394.633983024</v>
      </c>
      <c r="G658" s="11">
        <f>J347*TC_MES</f>
        <v>24.719155056</v>
      </c>
      <c r="H658" s="198">
        <f>J447</f>
        <v>8613.32906</v>
      </c>
      <c r="I658" s="11">
        <f>G553</f>
        <v>-359.32364</v>
      </c>
      <c r="J658" s="11">
        <f>SUM(E658:I658)</f>
        <v>4035.228382032</v>
      </c>
    </row>
    <row r="659" spans="1:14">
      <c r="D659" s="1" t="s">
        <v>270</v>
      </c>
      <c r="E659" s="11">
        <f>K155</f>
        <v>-6454.78034</v>
      </c>
      <c r="F659" s="11">
        <f>I251*TC_MES</f>
        <v>397.228420368</v>
      </c>
      <c r="G659" s="11">
        <f>J348*TC_MES</f>
        <v>0</v>
      </c>
      <c r="H659" s="198">
        <f>J448</f>
        <v>8460.06192</v>
      </c>
      <c r="I659" s="11">
        <f>G556</f>
        <v>-1457</v>
      </c>
      <c r="J659" s="11">
        <f>SUM(E659:I659)</f>
        <v>945.510000368</v>
      </c>
    </row>
    <row r="660" spans="1:14">
      <c r="D660" s="1" t="s">
        <v>271</v>
      </c>
      <c r="E660" s="11">
        <f>K156</f>
        <v>4598.7551</v>
      </c>
      <c r="F660" s="11">
        <f>I252*TC_MES</f>
        <v>-18807.54916248</v>
      </c>
      <c r="G660" s="11">
        <f>J349*TC_MES</f>
        <v>-3714.752117376</v>
      </c>
      <c r="H660" s="198">
        <f>J449</f>
        <v>8982.6447</v>
      </c>
      <c r="I660" s="11">
        <f>G557</f>
        <v>-821.52321</v>
      </c>
      <c r="J660" s="11">
        <f>SUM(E660:I660)</f>
        <v>-9762.424689856</v>
      </c>
    </row>
    <row r="661" spans="1:14">
      <c r="D661" s="1" t="s">
        <v>272</v>
      </c>
      <c r="E661" s="11">
        <f>K157</f>
        <v>-4804.2253</v>
      </c>
      <c r="F661" s="11">
        <f>I253*TC_MES</f>
        <v>-463.532797944</v>
      </c>
      <c r="G661" s="11">
        <f>J350*TC_MES</f>
        <v>-386.035207056</v>
      </c>
      <c r="H661" s="198">
        <f>J450</f>
        <v>451.69481</v>
      </c>
      <c r="I661" s="11">
        <f>G558</f>
        <v>-513.5721</v>
      </c>
      <c r="J661" s="11">
        <f>SUM(E661:I661)</f>
        <v>-5715.670595</v>
      </c>
    </row>
    <row r="662" spans="1:14">
      <c r="D662" s="26" t="s">
        <v>265</v>
      </c>
      <c r="E662" s="14">
        <f>K158</f>
        <v>-6061.3608</v>
      </c>
      <c r="F662" s="14">
        <f>I254*TC_MES</f>
        <v>-26599.922309376</v>
      </c>
      <c r="G662" s="14">
        <f>J351*TC_MES</f>
        <v>-23721.933269376</v>
      </c>
      <c r="H662" s="215">
        <f>J451</f>
        <v>-1456.35026</v>
      </c>
      <c r="I662" s="14">
        <f>G561</f>
        <v>-4067.73814</v>
      </c>
      <c r="J662" s="14">
        <f>SUM(E662,F662,G662,H662,I662)</f>
        <v>-61907.304778752</v>
      </c>
    </row>
    <row r="663" spans="1:14">
      <c r="D663" s="1"/>
      <c r="E663" s="202"/>
      <c r="F663" s="202"/>
      <c r="G663" s="202"/>
      <c r="H663" s="202"/>
      <c r="I663" s="202"/>
      <c r="J663" s="202"/>
    </row>
    <row r="664" spans="1:14">
      <c r="D664" s="26" t="s">
        <v>273</v>
      </c>
      <c r="E664" s="30"/>
      <c r="F664" s="30"/>
      <c r="G664" s="30"/>
      <c r="H664" s="30"/>
      <c r="I664" s="30"/>
      <c r="J664" s="30"/>
    </row>
    <row r="665" spans="1:14">
      <c r="D665" s="1" t="s">
        <v>274</v>
      </c>
      <c r="E665" s="8">
        <f>K161</f>
        <v>3641.29632</v>
      </c>
      <c r="F665" s="8">
        <f>I257*TC_MES</f>
        <v>0</v>
      </c>
      <c r="G665" s="8">
        <f>J354*TC_MES</f>
        <v>7576.959206592</v>
      </c>
      <c r="H665" s="194">
        <f>J454</f>
        <v>-436.34719</v>
      </c>
      <c r="I665" s="8">
        <f>G564</f>
        <v>0</v>
      </c>
      <c r="J665" s="8">
        <f>SUM(E665:I665)</f>
        <v>10781.908336592</v>
      </c>
    </row>
    <row r="666" spans="1:14">
      <c r="D666" s="1" t="s">
        <v>275</v>
      </c>
      <c r="E666" s="11">
        <f>K162</f>
        <v>-0.00024</v>
      </c>
      <c r="F666" s="11">
        <f>I258*TC_MES</f>
        <v>0</v>
      </c>
      <c r="G666" s="11">
        <f>J355*TC_MES</f>
        <v>0</v>
      </c>
      <c r="H666" s="198">
        <f>J455</f>
        <v>69</v>
      </c>
      <c r="I666" s="11">
        <f>G565</f>
        <v>0</v>
      </c>
      <c r="J666" s="11">
        <f>SUM(E666:I666)</f>
        <v>68.99976</v>
      </c>
    </row>
    <row r="667" spans="1:14">
      <c r="D667" s="1" t="s">
        <v>276</v>
      </c>
      <c r="E667" s="11">
        <f>K163</f>
        <v>0</v>
      </c>
      <c r="F667" s="11">
        <f>I259*TC_MES</f>
        <v>0</v>
      </c>
      <c r="G667" s="11">
        <f>J356*TC_MES</f>
        <v>0</v>
      </c>
      <c r="H667" s="198">
        <f>J456</f>
        <v>0</v>
      </c>
      <c r="I667" s="11">
        <f>G566</f>
        <v>0</v>
      </c>
      <c r="J667" s="11">
        <f>SUM(E667:I667)</f>
        <v>0</v>
      </c>
    </row>
    <row r="668" spans="1:14">
      <c r="D668" s="1" t="s">
        <v>277</v>
      </c>
      <c r="E668" s="11">
        <f>K164</f>
        <v>0</v>
      </c>
      <c r="F668" s="11">
        <f>I260*TC_MES</f>
        <v>0</v>
      </c>
      <c r="G668" s="11">
        <f>J357*TC_MES</f>
        <v>0</v>
      </c>
      <c r="H668" s="198">
        <f>J457</f>
        <v>0</v>
      </c>
      <c r="I668" s="11">
        <f>G567</f>
        <v>0</v>
      </c>
      <c r="J668" s="11">
        <f>SUM(E668:I668)</f>
        <v>0</v>
      </c>
    </row>
    <row r="669" spans="1:14">
      <c r="D669" s="1" t="s">
        <v>278</v>
      </c>
      <c r="E669" s="11">
        <f>K165</f>
        <v>0</v>
      </c>
      <c r="F669" s="11">
        <f>I261*TC_MES</f>
        <v>0</v>
      </c>
      <c r="G669" s="11">
        <f>J358*TC_MES</f>
        <v>0</v>
      </c>
      <c r="H669" s="198">
        <f>J458</f>
        <v>0</v>
      </c>
      <c r="I669" s="11">
        <f>G568</f>
        <v>0</v>
      </c>
      <c r="J669" s="11">
        <f>SUM(E669:I669)</f>
        <v>0</v>
      </c>
    </row>
    <row r="670" spans="1:14">
      <c r="D670" s="1" t="s">
        <v>279</v>
      </c>
      <c r="E670" s="11">
        <f>K166</f>
        <v>0</v>
      </c>
      <c r="F670" s="11">
        <f>I262*TC_MES</f>
        <v>0</v>
      </c>
      <c r="G670" s="11">
        <f>J359*TC_MES</f>
        <v>0</v>
      </c>
      <c r="H670" s="198">
        <f>J459</f>
        <v>0</v>
      </c>
      <c r="I670" s="11">
        <f>G569</f>
        <v>0</v>
      </c>
      <c r="J670" s="11">
        <f>SUM(E670:I670)</f>
        <v>0</v>
      </c>
    </row>
    <row r="671" spans="1:14">
      <c r="D671" s="26" t="s">
        <v>280</v>
      </c>
      <c r="E671" s="14">
        <f>K167</f>
        <v>3641.29608</v>
      </c>
      <c r="F671" s="14">
        <f>I263*TC_MES</f>
        <v>0</v>
      </c>
      <c r="G671" s="14">
        <f>J360*TC_MES</f>
        <v>7576.959206592</v>
      </c>
      <c r="H671" s="215">
        <f>J460</f>
        <v>-367.34719</v>
      </c>
      <c r="I671" s="14">
        <f>G570</f>
        <v>0</v>
      </c>
      <c r="J671" s="14">
        <f>SUM(E671,F671,G671,H671,I671)</f>
        <v>10850.908096592</v>
      </c>
    </row>
    <row r="672" spans="1:14">
      <c r="D672" s="26"/>
      <c r="E672" s="202"/>
      <c r="F672" s="209"/>
      <c r="G672" s="209"/>
      <c r="H672" s="209"/>
      <c r="I672" s="209"/>
      <c r="J672" s="209"/>
    </row>
    <row r="673" spans="1:14">
      <c r="D673" s="26" t="s">
        <v>281</v>
      </c>
      <c r="E673" s="197"/>
      <c r="F673" s="30"/>
      <c r="G673" s="30"/>
      <c r="H673" s="30"/>
      <c r="I673" s="30"/>
      <c r="J673" s="30"/>
    </row>
    <row r="674" spans="1:14">
      <c r="D674" s="1" t="s">
        <v>282</v>
      </c>
      <c r="E674" s="11">
        <f>K170</f>
        <v>0</v>
      </c>
      <c r="F674" s="8">
        <f>I266*TC_MES</f>
        <v>0</v>
      </c>
      <c r="G674" s="8">
        <f>J363*TC_MES</f>
        <v>0</v>
      </c>
      <c r="H674" s="194">
        <f>J463</f>
        <v>0</v>
      </c>
      <c r="I674" s="8">
        <f>$G574</f>
        <v>0</v>
      </c>
      <c r="J674" s="8">
        <f>SUM(E674:I674)</f>
        <v>0</v>
      </c>
    </row>
    <row r="675" spans="1:14">
      <c r="D675" s="1" t="s">
        <v>283</v>
      </c>
      <c r="E675" s="11">
        <f>K171</f>
        <v>-25.58463</v>
      </c>
      <c r="F675" s="11">
        <f>I267*TC_MES</f>
        <v>-184.196557008</v>
      </c>
      <c r="G675" s="11">
        <f>J364*TC_MES</f>
        <v>0</v>
      </c>
      <c r="H675" s="198">
        <f>J464</f>
        <v>-867.02955</v>
      </c>
      <c r="I675" s="11">
        <f>$G575</f>
        <v>0</v>
      </c>
      <c r="J675" s="11">
        <f>SUM(E675:I675)</f>
        <v>-1076.810737008</v>
      </c>
    </row>
    <row r="676" spans="1:14">
      <c r="D676" s="1" t="s">
        <v>284</v>
      </c>
      <c r="E676" s="11">
        <f>K172</f>
        <v>-85.96551</v>
      </c>
      <c r="F676" s="11">
        <f>I268*TC_MES</f>
        <v>0</v>
      </c>
      <c r="G676" s="11">
        <f>J365*TC_MES</f>
        <v>0</v>
      </c>
      <c r="H676" s="198">
        <f>J465</f>
        <v>332.61872</v>
      </c>
      <c r="I676" s="11">
        <f>$G576</f>
        <v>0</v>
      </c>
      <c r="J676" s="11">
        <f>SUM(E676:I676)</f>
        <v>246.65321</v>
      </c>
    </row>
    <row r="677" spans="1:14">
      <c r="D677" s="1" t="s">
        <v>285</v>
      </c>
      <c r="E677" s="11">
        <f>K173</f>
        <v>0</v>
      </c>
      <c r="F677" s="11">
        <f>I269*TC_MES</f>
        <v>0</v>
      </c>
      <c r="G677" s="11">
        <f>J366*TC_MES</f>
        <v>0</v>
      </c>
      <c r="H677" s="198">
        <f>J466</f>
        <v>0</v>
      </c>
      <c r="I677" s="11">
        <f>$G577</f>
        <v>0</v>
      </c>
      <c r="J677" s="11">
        <f>SUM(E677:I677)</f>
        <v>0</v>
      </c>
    </row>
    <row r="678" spans="1:14">
      <c r="D678" s="1" t="s">
        <v>286</v>
      </c>
      <c r="E678" s="11">
        <f>K174</f>
        <v>0</v>
      </c>
      <c r="F678" s="11">
        <f>I270*TC_MES</f>
        <v>0</v>
      </c>
      <c r="G678" s="11">
        <f>J367*TC_MES</f>
        <v>0</v>
      </c>
      <c r="H678" s="198">
        <f>J467</f>
        <v>-9.98475</v>
      </c>
      <c r="I678" s="11">
        <f>$G578</f>
        <v>0</v>
      </c>
      <c r="J678" s="11">
        <f>SUM(E678:I678)</f>
        <v>-9.98475</v>
      </c>
    </row>
    <row r="679" spans="1:14">
      <c r="D679" s="1" t="s">
        <v>287</v>
      </c>
      <c r="E679" s="11">
        <f>K175</f>
        <v>0</v>
      </c>
      <c r="F679" s="11">
        <f>I271*TC_MES</f>
        <v>0</v>
      </c>
      <c r="G679" s="11">
        <f>J368*TC_MES</f>
        <v>0</v>
      </c>
      <c r="H679" s="198">
        <f>J468</f>
        <v>0</v>
      </c>
      <c r="I679" s="11">
        <f>$G579</f>
        <v>0</v>
      </c>
      <c r="J679" s="11">
        <f>SUM(E679:I679)</f>
        <v>0</v>
      </c>
    </row>
    <row r="680" spans="1:14">
      <c r="D680" s="1" t="s">
        <v>288</v>
      </c>
      <c r="E680" s="11">
        <f>K176</f>
        <v>0</v>
      </c>
      <c r="F680" s="11">
        <f>I272*TC_MES</f>
        <v>0</v>
      </c>
      <c r="G680" s="11">
        <f>J369*TC_MES</f>
        <v>0</v>
      </c>
      <c r="H680" s="198">
        <f>J469</f>
        <v>0</v>
      </c>
      <c r="I680" s="11">
        <f>$G580</f>
        <v>0</v>
      </c>
      <c r="J680" s="11">
        <f>SUM(E680:I680)</f>
        <v>0</v>
      </c>
    </row>
    <row r="681" spans="1:14">
      <c r="D681" s="1" t="s">
        <v>289</v>
      </c>
      <c r="E681" s="11">
        <f>K177</f>
        <v>26.27135</v>
      </c>
      <c r="F681" s="11">
        <f>I273*TC_MES</f>
        <v>-10.1124</v>
      </c>
      <c r="G681" s="11">
        <f>J370*TC_MES</f>
        <v>0</v>
      </c>
      <c r="H681" s="198">
        <f>J470</f>
        <v>0</v>
      </c>
      <c r="I681" s="11">
        <f>$G581</f>
        <v>0</v>
      </c>
      <c r="J681" s="11">
        <f>SUM(E681:I681)</f>
        <v>16.15895</v>
      </c>
    </row>
    <row r="682" spans="1:14" hidden="true">
      <c r="D682" s="1" t="s">
        <v>290</v>
      </c>
      <c r="E682" s="11">
        <f>K178</f>
        <v>0</v>
      </c>
      <c r="F682" s="11">
        <f>I274*TC_MES</f>
        <v>0</v>
      </c>
      <c r="G682" s="11">
        <f>J371*TC_MES</f>
        <v>0</v>
      </c>
      <c r="H682" s="198">
        <f>J471</f>
        <v>0</v>
      </c>
      <c r="I682" s="11">
        <f>$G582</f>
        <v>0</v>
      </c>
      <c r="J682" s="11">
        <f>SUM(E682:I682)</f>
        <v>0</v>
      </c>
    </row>
    <row r="683" spans="1:14">
      <c r="D683" s="1" t="s">
        <v>291</v>
      </c>
      <c r="E683" s="11">
        <f>K179</f>
        <v>-570.53612</v>
      </c>
      <c r="F683" s="11">
        <f>I275*TC_MES</f>
        <v>-717.629297472</v>
      </c>
      <c r="G683" s="11">
        <f>J372*TC_MES</f>
        <v>0</v>
      </c>
      <c r="H683" s="198">
        <f>J472</f>
        <v>0</v>
      </c>
      <c r="I683" s="11">
        <f>$G583</f>
        <v>0</v>
      </c>
      <c r="J683" s="11">
        <f>SUM(E683:I683)</f>
        <v>-1288.165417472</v>
      </c>
    </row>
    <row r="684" spans="1:14" hidden="true">
      <c r="D684" s="1" t="s">
        <v>292</v>
      </c>
      <c r="E684" s="11">
        <f>K180</f>
        <v>0</v>
      </c>
      <c r="F684" s="11">
        <f>I276*TC_MES</f>
        <v>0</v>
      </c>
      <c r="G684" s="11">
        <f>J373*TC_MES</f>
        <v>0</v>
      </c>
      <c r="H684" s="198">
        <f>J473</f>
        <v>0</v>
      </c>
      <c r="I684" s="11">
        <f>$G584</f>
        <v>0</v>
      </c>
      <c r="J684" s="11">
        <f>SUM(E684:I684)</f>
        <v>0</v>
      </c>
    </row>
    <row r="685" spans="1:14">
      <c r="D685" s="1" t="s">
        <v>293</v>
      </c>
      <c r="E685" s="11">
        <f>K181</f>
        <v>0</v>
      </c>
      <c r="F685" s="11">
        <f>I277*TC_MES</f>
        <v>0</v>
      </c>
      <c r="G685" s="11">
        <f>J374*TC_MES</f>
        <v>0</v>
      </c>
      <c r="H685" s="198">
        <f>J474</f>
        <v>0</v>
      </c>
      <c r="I685" s="11">
        <f>$G585</f>
        <v>0</v>
      </c>
      <c r="J685" s="11">
        <f>SUM(E685:I685)</f>
        <v>0</v>
      </c>
    </row>
    <row r="686" spans="1:14">
      <c r="D686" s="1" t="s">
        <v>313</v>
      </c>
      <c r="E686" s="11">
        <v>0</v>
      </c>
      <c r="F686" s="11">
        <v>0</v>
      </c>
      <c r="G686" s="11">
        <v>0</v>
      </c>
      <c r="H686" s="198">
        <f>J475</f>
        <v>0</v>
      </c>
      <c r="I686" s="11">
        <f>$G586</f>
        <v>0</v>
      </c>
      <c r="J686" s="11">
        <f>SUM(E686:I686)</f>
        <v>0</v>
      </c>
    </row>
    <row r="687" spans="1:14" hidden="true">
      <c r="D687" s="1" t="s">
        <v>314</v>
      </c>
      <c r="E687" s="11"/>
      <c r="F687" s="11"/>
      <c r="G687" s="11"/>
      <c r="H687" s="198">
        <f>J476</f>
        <v>0</v>
      </c>
      <c r="I687" s="11"/>
      <c r="J687" s="11">
        <f>SUM(E687:I687)</f>
        <v>0</v>
      </c>
    </row>
    <row r="688" spans="1:14">
      <c r="D688" s="1" t="s">
        <v>31</v>
      </c>
      <c r="E688" s="11">
        <f>K182</f>
        <v>-1.1641532182693E-13</v>
      </c>
      <c r="F688" s="34">
        <f>I278*TC_MES</f>
        <v>0</v>
      </c>
      <c r="G688" s="34">
        <f>J375*TC_MES</f>
        <v>0</v>
      </c>
      <c r="H688" s="198">
        <f>J477</f>
        <v>-255.3931</v>
      </c>
      <c r="I688" s="34">
        <f>G587</f>
        <v>0</v>
      </c>
      <c r="J688" s="34">
        <f>SUM(E688:I688)</f>
        <v>-255.3931</v>
      </c>
    </row>
    <row r="689" spans="1:14">
      <c r="D689" s="26" t="s">
        <v>294</v>
      </c>
      <c r="E689" s="14">
        <f>K183</f>
        <v>-655.81491</v>
      </c>
      <c r="F689" s="20">
        <f>I279*TC_MES</f>
        <v>-911.93825448</v>
      </c>
      <c r="G689" s="20">
        <f>J376*TC_MES</f>
        <v>0</v>
      </c>
      <c r="H689" s="215">
        <f>J478</f>
        <v>-799.78868</v>
      </c>
      <c r="I689" s="20">
        <f>G588</f>
        <v>0</v>
      </c>
      <c r="J689" s="20">
        <f>SUM(E689,F689,G689,H689,I689)</f>
        <v>-2367.54184448</v>
      </c>
    </row>
    <row r="690" spans="1:14">
      <c r="D690" s="26" t="s">
        <v>157</v>
      </c>
      <c r="E690" s="20"/>
      <c r="F690" s="231"/>
      <c r="G690" s="14"/>
      <c r="H690" s="191">
        <f>J479</f>
        <v>0</v>
      </c>
      <c r="I690" s="231"/>
      <c r="J690" s="20">
        <f>SUM(E690,F690,G690,H690,I690)</f>
        <v>0</v>
      </c>
    </row>
    <row r="691" spans="1:14">
      <c r="D691" s="272"/>
      <c r="E691" s="25"/>
      <c r="F691" s="25"/>
      <c r="G691" s="40"/>
      <c r="H691" s="40"/>
      <c r="I691" s="25"/>
      <c r="J691" s="25"/>
    </row>
    <row r="692" spans="1:14">
      <c r="D692" s="26" t="s">
        <v>295</v>
      </c>
      <c r="E692" s="14">
        <f>K185</f>
        <v>1864.35481</v>
      </c>
      <c r="F692" s="14">
        <f>I281*TC_MES</f>
        <v>-25128.476895528</v>
      </c>
      <c r="G692" s="14">
        <f>J378*TC_MES</f>
        <v>-14737.49524188</v>
      </c>
      <c r="H692" s="14">
        <f>J481</f>
        <v>5941.23004</v>
      </c>
      <c r="I692" s="14">
        <f>G590</f>
        <v>-1498.11092</v>
      </c>
      <c r="J692" s="14">
        <f>SUM(E692,F692,G692,H692,I692)</f>
        <v>-33558.498207408</v>
      </c>
    </row>
    <row r="693" spans="1:14">
      <c r="D693" s="26" t="s">
        <v>296</v>
      </c>
      <c r="E693" s="20">
        <f>K186</f>
        <v>17416.15271</v>
      </c>
      <c r="F693" s="14">
        <f>I282*TC_MES</f>
        <v>35637.264166464</v>
      </c>
      <c r="G693" s="14">
        <f>J379*TC_MES</f>
        <v>16821.65481444</v>
      </c>
      <c r="H693" s="14">
        <f>J482</f>
        <v>49091.55746</v>
      </c>
      <c r="I693" s="14">
        <f>G591</f>
        <v>12447.04498</v>
      </c>
      <c r="J693" s="14">
        <f>SUM(E693:I693)</f>
        <v>131413.6741309</v>
      </c>
    </row>
    <row r="694" spans="1:14">
      <c r="D694" s="26" t="s">
        <v>297</v>
      </c>
      <c r="E694" s="14">
        <f>K187</f>
        <v>19280.50752</v>
      </c>
      <c r="F694" s="14">
        <f>I283*TC_MES</f>
        <v>10508.787270936</v>
      </c>
      <c r="G694" s="14">
        <f>J380*TC_MES</f>
        <v>2084.15957256</v>
      </c>
      <c r="H694" s="14">
        <f>J483</f>
        <v>55032.7875</v>
      </c>
      <c r="I694" s="14">
        <f>G592</f>
        <v>10948.93406</v>
      </c>
      <c r="J694" s="14">
        <f>J692+J693</f>
        <v>97855.175923496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73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bg">
    <outlinePr summaryBelow="1" summaryRight="1"/>
  </sheetPr>
  <dimension ref="A1:L57"/>
  <sheetViews>
    <sheetView tabSelected="0" workbookViewId="0" zoomScale="80" zoomScaleNormal="80" showGridLines="false" showRowColHeaders="1">
      <selection activeCell="K8" sqref="K8"/>
    </sheetView>
  </sheetViews>
  <sheetFormatPr defaultRowHeight="14.4" outlineLevelRow="0" outlineLevelCol="0"/>
  <cols>
    <col min="2" max="2" width="30.81640625" customWidth="true" style="0"/>
    <col min="3" max="3" width="13.81640625" hidden="true" customWidth="true" style="0"/>
    <col min="4" max="4" width="14.54296875" customWidth="true" style="0"/>
    <col min="5" max="5" width="13.81640625" customWidth="true" style="0"/>
    <col min="6" max="6" width="12.54296875" customWidth="true" style="0"/>
    <col min="7" max="7" width="14" customWidth="true" style="0"/>
    <col min="8" max="8" width="12.54296875" customWidth="true" style="0"/>
    <col min="9" max="9" width="14.453125" customWidth="true" style="0"/>
  </cols>
  <sheetData>
    <row r="2" spans="1:12">
      <c r="C2" s="234" t="s">
        <v>14</v>
      </c>
      <c r="D2" s="234" t="s">
        <v>15</v>
      </c>
      <c r="E2" s="234" t="s">
        <v>16</v>
      </c>
      <c r="F2" s="234" t="s">
        <v>17</v>
      </c>
      <c r="G2" s="234" t="s">
        <v>18</v>
      </c>
      <c r="H2" s="234" t="s">
        <v>19</v>
      </c>
      <c r="I2" s="234" t="s">
        <v>20</v>
      </c>
    </row>
    <row r="3" spans="1:12">
      <c r="B3" s="222" t="s">
        <v>358</v>
      </c>
      <c r="C3" s="223"/>
      <c r="D3" s="223">
        <f>(BDBG!C2+BDBG!C56+BDBG!C110+BDBG!C164+BDBG!C218+BDBG!C272)/1000</f>
        <v>0</v>
      </c>
      <c r="E3" s="223">
        <f>(BDBG!C1137+BDBG!C1191+BDBG!C1353+BDBG!C1461)/1000</f>
        <v>0</v>
      </c>
      <c r="F3" s="223">
        <f>(BDBG!C1245+BDBG!C1299+BDBG!C1407+BDBG!C1515+BDBG!C1569)/1000</f>
        <v>0</v>
      </c>
      <c r="G3" s="223">
        <f>(BDBG!C704+BDBG!C758+BDBG!C813+BDBG!C867+BDBG!C921+BDBG!C975)/1000</f>
        <v>0</v>
      </c>
      <c r="H3" s="223">
        <f>(BDBG!C1029+BDBG!C1083)/1000</f>
        <v>0</v>
      </c>
      <c r="I3" s="223"/>
    </row>
    <row r="4" spans="1:12">
      <c r="B4" s="224" t="s">
        <v>359</v>
      </c>
      <c r="C4" s="225"/>
      <c r="D4" s="225">
        <f>(BDBG!C3+BDBG!C57+BDBG!C111+BDBG!C165+BDBG!C219+BDBG!C273)/1000</f>
        <v>9963.79921</v>
      </c>
      <c r="E4" s="225">
        <f>(BDBG!C1138+BDBG!C1192+BDBG!C1354+BDBG!C1462)*TC_MES/1000+BDBG!C1624*TC_MES/1000</f>
        <v>10617.3475254</v>
      </c>
      <c r="F4" s="225">
        <f>(BDBG!C1246+BDBG!C1300+BDBG!C1408+BDBG!C1516+BDBG!C1570)*TC_MES/1000</f>
        <v>2084.15957256</v>
      </c>
      <c r="G4" s="225">
        <f>(BDBG!C705+BDBG!C759+BDBG!C814+BDBG!C868+BDBG!C922)/1000</f>
        <v>25026.43574</v>
      </c>
      <c r="H4" s="225">
        <f>(BDBG!C1030+BDBG!C1084)/1000</f>
        <v>10948.93406</v>
      </c>
      <c r="I4" s="225">
        <f>SUM(C4,D4,E4,F4,G4,H4)</f>
        <v>58640.67610796</v>
      </c>
    </row>
    <row r="5" spans="1:12">
      <c r="B5" s="224" t="s">
        <v>360</v>
      </c>
      <c r="C5" s="225"/>
      <c r="D5" s="225">
        <f>(BDBG!C4+BDBG!C58+BDBG!C112+BDBG!C166+BDBG!C220+BDBG!C274)/1000</f>
        <v>9316.70831</v>
      </c>
      <c r="E5" s="225">
        <f>(BDBG!C1139+BDBG!C1193+BDBG!C1355+BDBG!C1463)*TC_MES/1000+BDBG!C1625*TC_MES/1000</f>
        <v>0</v>
      </c>
      <c r="F5" s="225">
        <f>(BDBG!C1247+BDBG!C1301+BDBG!C1409+BDBG!C1517+BDBG!C1571)*TC_MES/1000</f>
        <v>0</v>
      </c>
      <c r="G5" s="225">
        <f>(BDBG!C706+BDBG!C760+BDBG!C815+BDBG!C869+BDBG!C923)/1000</f>
        <v>30006.35176</v>
      </c>
      <c r="H5" s="225">
        <f>(BDBG!C1031+BDBG!C1085)/1000</f>
        <v>0</v>
      </c>
      <c r="I5" s="225">
        <f>SUM(C5,D5,E5,F5,G5,H5)</f>
        <v>39323.06007</v>
      </c>
    </row>
    <row r="6" spans="1:12">
      <c r="B6" s="224" t="s">
        <v>266</v>
      </c>
      <c r="C6" s="225"/>
      <c r="D6" s="225">
        <f>(BDBG!C5+BDBG!C59+BDBG!C113+BDBG!C167+BDBG!C221+BDBG!C275)/1000</f>
        <v>28331.7984</v>
      </c>
      <c r="E6" s="225">
        <f>(BDBG!C1140+BDBG!C1194+BDBG!C1356+BDBG!C1464)*TC_MES/1000+BDBG!C1626*TC_MES/1000</f>
        <v>11072.582896896</v>
      </c>
      <c r="F6" s="225">
        <f>(BDBG!C1248+BDBG!C1302+BDBG!C1410+BDBG!C1518+BDBG!C1572)*TC_MES/1000</f>
        <v>795.84588</v>
      </c>
      <c r="G6" s="225">
        <f>(BDBG!C707+BDBG!C761+BDBG!C816+BDBG!C870+BDBG!C924)/1000</f>
        <v>67003.26615</v>
      </c>
      <c r="H6" s="225">
        <f>(BDBG!C1032+BDBG!C1086)/1000</f>
        <v>196962.72444</v>
      </c>
      <c r="I6" s="225">
        <f>SUM(C6,D6,E6,F6,G6,H6)</f>
        <v>304166.2177669</v>
      </c>
    </row>
    <row r="7" spans="1:12">
      <c r="B7" s="224" t="s">
        <v>267</v>
      </c>
      <c r="C7" s="225"/>
      <c r="D7" s="225">
        <f>(BDBG!C6+BDBG!C60+BDBG!C114+BDBG!C168+BDBG!C222+BDBG!C276)/1000</f>
        <v>100298.93305</v>
      </c>
      <c r="E7" s="225">
        <f>(BDBG!C1141+BDBG!C1195+BDBG!C1357+BDBG!C1465)*TC_MES/1000+BDBG!C1627*TC_MES/1000</f>
        <v>0</v>
      </c>
      <c r="F7" s="225">
        <f>(BDBG!C1249+BDBG!C1303+BDBG!C1411+BDBG!C1519+BDBG!C1573)*TC_MES/1000</f>
        <v>109670.63542236</v>
      </c>
      <c r="G7" s="225">
        <f>(BDBG!C708+BDBG!C762+BDBG!C817+BDBG!C871+BDBG!C925)/1000</f>
        <v>91209.47381</v>
      </c>
      <c r="H7" s="225">
        <f>(BDBG!C1033+BDBG!C1087)/1000</f>
        <v>23901.58798</v>
      </c>
      <c r="I7" s="225">
        <f>SUM(C7,D7,E7,F7,G7,H7)</f>
        <v>325080.63026236</v>
      </c>
    </row>
    <row r="8" spans="1:12">
      <c r="B8" s="224" t="s">
        <v>268</v>
      </c>
      <c r="C8" s="225"/>
      <c r="D8" s="225">
        <f>(BDBG!C7+BDBG!C61+BDBG!C115+BDBG!C169+BDBG!C223+BDBG!C277)/1000</f>
        <v>16868.21077</v>
      </c>
      <c r="E8" s="225">
        <f>(BDBG!C1142+BDBG!C1196+BDBG!C1358+BDBG!C1466)*TC_MES/1000+BDBG!C1628*TC_MES/1000</f>
        <v>2738.61084204</v>
      </c>
      <c r="F8" s="225">
        <f>(BDBG!C1250+BDBG!C1304+BDBG!C1412+BDBG!C1520+BDBG!C1574)*TC_MES/1000</f>
        <v>0</v>
      </c>
      <c r="G8" s="225">
        <f>(BDBG!C709+BDBG!C763+BDBG!C818+BDBG!C872+BDBG!C926)/1000</f>
        <v>33907.17528</v>
      </c>
      <c r="H8" s="225">
        <f>(BDBG!C1034+BDBG!C1088)/1000</f>
        <v>123423.02654</v>
      </c>
      <c r="I8" s="225">
        <f>SUM(C8,D8,E8,F8,G8,H8)</f>
        <v>176937.02343204</v>
      </c>
    </row>
    <row r="9" spans="1:12">
      <c r="B9" s="224" t="s">
        <v>269</v>
      </c>
      <c r="C9" s="225"/>
      <c r="D9" s="225">
        <f>(BDBG!C8+BDBG!C62+BDBG!C116+BDBG!C170+BDBG!C224+BDBG!C278)/1000</f>
        <v>17842.19416</v>
      </c>
      <c r="E9" s="225">
        <f>(BDBG!C1143+BDBG!C1197+BDBG!C1359+BDBG!C1467)*TC_MES/1000+BDBG!C1629*TC_MES/1000</f>
        <v>3709.327219272</v>
      </c>
      <c r="F9" s="225">
        <f>(BDBG!C1251+BDBG!C1305+BDBG!C1413+BDBG!C1521+BDBG!C1575)*TC_MES/1000</f>
        <v>1427.55537312</v>
      </c>
      <c r="G9" s="225">
        <f>(BDBG!C710+BDBG!C764+BDBG!C819+BDBG!C873+BDBG!C927)/1000</f>
        <v>6803.27973</v>
      </c>
      <c r="H9" s="225">
        <f>(BDBG!C1035+BDBG!C1089)/1000</f>
        <v>4954.13635</v>
      </c>
      <c r="I9" s="225">
        <f>SUM(C9,D9,E9,F9,G9,H9)</f>
        <v>34736.492832392</v>
      </c>
    </row>
    <row r="10" spans="1:12">
      <c r="B10" s="224" t="s">
        <v>361</v>
      </c>
      <c r="C10" s="225"/>
      <c r="D10" s="225">
        <f>(BDBG!C9+BDBG!C63+BDBG!C117+BDBG!C171+BDBG!C225+BDBG!C279)/1000</f>
        <v>56703.8549</v>
      </c>
      <c r="E10" s="225">
        <f>(BDBG!C1144+BDBG!C1198+BDBG!C1360+BDBG!C1468)*TC_MES/1000+BDBG!C1630*TC_MES/1000</f>
        <v>2727.30113388</v>
      </c>
      <c r="F10" s="225">
        <f>(BDBG!C1252+BDBG!C1306+BDBG!C1414+BDBG!C1522+BDBG!C1576)*TC_MES/1000</f>
        <v>66679.013074536</v>
      </c>
      <c r="G10" s="225">
        <f>(BDBG!C711+BDBG!C765+BDBG!C820+BDBG!C874+BDBG!C928)/1000</f>
        <v>26590.55148</v>
      </c>
      <c r="H10" s="225">
        <f>(BDBG!C1036+BDBG!C1090)/1000</f>
        <v>737.23463</v>
      </c>
      <c r="I10" s="225">
        <f>SUM(C10,D10,E10,F10,G10,H10)</f>
        <v>153437.95521842</v>
      </c>
    </row>
    <row r="11" spans="1:12">
      <c r="B11" s="226" t="s">
        <v>362</v>
      </c>
      <c r="C11" s="227"/>
      <c r="D11" s="227">
        <f>SUM(D4,D5,D6,D7,D8,D9,D10)</f>
        <v>239325.4988</v>
      </c>
      <c r="E11" s="227">
        <f>SUM(E4,E5,E6,E7,E8,E9,E10)</f>
        <v>30865.169617488</v>
      </c>
      <c r="F11" s="227">
        <f>SUM(F4,F5,F6,F7,F8,F9,F10)</f>
        <v>180657.20932258</v>
      </c>
      <c r="G11" s="227">
        <f>SUM(G4,G5,G6,G7,G8,G9,G10)</f>
        <v>280546.53395</v>
      </c>
      <c r="H11" s="227">
        <f>SUM(H4,H5,H6,H7,H8,H9,H10)</f>
        <v>360927.644</v>
      </c>
      <c r="I11" s="227">
        <f>SUM(I4,I5,I6,I7,I8,I9,I10)</f>
        <v>1092322.0556901</v>
      </c>
    </row>
    <row r="12" spans="1:12">
      <c r="B12" s="226" t="s">
        <v>363</v>
      </c>
      <c r="C12" s="225"/>
      <c r="D12" s="225"/>
      <c r="E12" s="225"/>
      <c r="F12" s="225"/>
      <c r="G12" s="225"/>
      <c r="H12" s="225"/>
      <c r="I12" s="225"/>
    </row>
    <row r="13" spans="1:12">
      <c r="B13" s="224" t="s">
        <v>322</v>
      </c>
      <c r="C13" s="225"/>
      <c r="D13" s="225">
        <f>(BDBG!C12+BDBG!C66+BDBG!C120+BDBG!C174+BDBG!C228+BDBG!C282)/1000</f>
        <v>36825.53453</v>
      </c>
      <c r="E13" s="225">
        <f>(BDBG!C1147+BDBG!C1201+BDBG!C1363+BDBG!C1471)*TC_MES/1000+BDBG!C1633*TC_MES/1000</f>
        <v>0</v>
      </c>
      <c r="F13" s="225">
        <f>(BDBG!C1255+BDBG!C1309+BDBG!C1417+BDBG!C1525+BDBG!C1579)*TC_MES/1000</f>
        <v>110504.88051214</v>
      </c>
      <c r="G13" s="225">
        <f>(BDBG!C714+BDBG!C768+BDBG!C823+BDBG!C877+BDBG!C931)/1000</f>
        <v>19354.25365</v>
      </c>
      <c r="H13" s="225">
        <f>(BDBG!C1039+BDBG!C1093)/1000</f>
        <v>9566.74795</v>
      </c>
      <c r="I13" s="225">
        <f>SUM(C13,D13,E13,F13,G13,H13)</f>
        <v>176251.41664214</v>
      </c>
    </row>
    <row r="14" spans="1:12">
      <c r="B14" s="224" t="s">
        <v>282</v>
      </c>
      <c r="C14" s="225"/>
      <c r="D14" s="225">
        <f>(BDBG!C13+BDBG!C67+BDBG!C121+BDBG!C175+BDBG!C229+BDBG!C283)/1000</f>
        <v>57166.35567</v>
      </c>
      <c r="E14" s="225">
        <f>(BDBG!C1148+BDBG!C1202+BDBG!C1364+BDBG!C1472)*TC_MES/1000+BDBG!C1634*TC_MES/1000</f>
        <v>12178.7880408</v>
      </c>
      <c r="F14" s="225">
        <f>(BDBG!C1256+BDBG!C1310+BDBG!C1418+BDBG!C1526+BDBG!C1580)*TC_MES/1000</f>
        <v>164745.80844127</v>
      </c>
      <c r="G14" s="225">
        <f>(BDBG!C715+BDBG!C769+BDBG!C824+BDBG!C878+BDBG!C932)/1000</f>
        <v>84166.26341</v>
      </c>
      <c r="H14" s="225">
        <f>(BDBG!C1040+BDBG!C1094)/1000</f>
        <v>5283.68111</v>
      </c>
      <c r="I14" s="225">
        <f>SUM(C14,D14,E14,F14,G14,H14)</f>
        <v>323540.89667207</v>
      </c>
    </row>
    <row r="15" spans="1:12">
      <c r="B15" s="224" t="s">
        <v>364</v>
      </c>
      <c r="C15" s="225"/>
      <c r="D15" s="225">
        <f>(BDBG!C14+BDBG!C68+BDBG!C122+BDBG!C176+BDBG!C230+BDBG!C284)/1000</f>
        <v>7536.98308</v>
      </c>
      <c r="E15" s="225">
        <f>(BDBG!C1149+BDBG!C1203+BDBG!C1365+BDBG!C1473)*TC_MES/1000+BDBG!C1635*TC_MES/1000</f>
        <v>0</v>
      </c>
      <c r="F15" s="225">
        <f>(BDBG!C1257+BDBG!C1311+BDBG!C1419+BDBG!C1527+BDBG!C1581)*TC_MES/1000</f>
        <v>0</v>
      </c>
      <c r="G15" s="225">
        <f>(BDBG!C716+BDBG!C770+BDBG!C825+BDBG!C879+BDBG!C933)/1000</f>
        <v>7451.84963</v>
      </c>
      <c r="H15" s="225">
        <f>(BDBG!C1041+BDBG!C1095)/1000</f>
        <v>278.74202</v>
      </c>
      <c r="I15" s="225">
        <f>SUM(C15,D15,E15,F15,G15,H15)</f>
        <v>15267.57473</v>
      </c>
    </row>
    <row r="16" spans="1:12">
      <c r="B16" s="224" t="s">
        <v>285</v>
      </c>
      <c r="C16" s="225"/>
      <c r="D16" s="225">
        <f>(BDBG!C15+BDBG!C69+BDBG!C123+BDBG!C177+BDBG!C231+BDBG!C285)/1000</f>
        <v>30258.73936</v>
      </c>
      <c r="E16" s="225">
        <f>(BDBG!C1150+BDBG!C1204+BDBG!C1366+BDBG!C1474)*TC_MES/1000+BDBG!C1636*TC_MES/1000</f>
        <v>0</v>
      </c>
      <c r="F16" s="225">
        <f>(BDBG!C1258+BDBG!C1312+BDBG!C1420+BDBG!C1528+BDBG!C1582)*TC_MES/1000</f>
        <v>0</v>
      </c>
      <c r="G16" s="225">
        <f>(BDBG!C717+BDBG!C771+BDBG!C826+BDBG!C880+BDBG!C934)/1000</f>
        <v>24843.82782</v>
      </c>
      <c r="H16" s="225">
        <f>(BDBG!C1042+BDBG!C1096)/1000</f>
        <v>364.21827</v>
      </c>
      <c r="I16" s="225">
        <f>SUM(C16,D16,E16,F16,G16,H16)</f>
        <v>55466.78545</v>
      </c>
    </row>
    <row r="17" spans="1:12">
      <c r="B17" s="224" t="s">
        <v>284</v>
      </c>
      <c r="C17" s="225"/>
      <c r="D17" s="225">
        <f>(BDBG!C16+BDBG!C70+BDBG!C124+BDBG!C178+BDBG!C232+BDBG!C286)/1000</f>
        <v>42157.573</v>
      </c>
      <c r="E17" s="225">
        <f>(BDBG!C1151+BDBG!C1205+BDBG!C1367+BDBG!C1475)*TC_MES/1000+BDBG!C1637*TC_MES/1000</f>
        <v>0</v>
      </c>
      <c r="F17" s="225">
        <f>(BDBG!C1259+BDBG!C1313+BDBG!C1421+BDBG!C1529+BDBG!C1583)*TC_MES/1000</f>
        <v>0</v>
      </c>
      <c r="G17" s="225">
        <f>(BDBG!C718+BDBG!C772+BDBG!C827+BDBG!C881+BDBG!C935)/1000</f>
        <v>194631.06665</v>
      </c>
      <c r="H17" s="225">
        <f>(BDBG!C1043+BDBG!C1097)/1000</f>
        <v>2018.6876</v>
      </c>
      <c r="I17" s="225">
        <f>SUM(C17,D17,E17,F17,G17,H17)</f>
        <v>238807.32725</v>
      </c>
    </row>
    <row r="18" spans="1:12">
      <c r="B18" s="224" t="s">
        <v>283</v>
      </c>
      <c r="C18" s="225"/>
      <c r="D18" s="225">
        <f>(BDBG!C17+BDBG!C71+BDBG!C125+BDBG!C179+BDBG!C233+BDBG!C287)/1000</f>
        <v>150667.24335</v>
      </c>
      <c r="E18" s="225">
        <f>(BDBG!C1152+BDBG!C1206+BDBG!C1368+BDBG!C1476)*TC_MES/1000+BDBG!C1638*TC_MES/1000</f>
        <v>54624.253821984</v>
      </c>
      <c r="F18" s="225">
        <f>(BDBG!C1260+BDBG!C1314+BDBG!C1422+BDBG!C1530+BDBG!C1584)*TC_MES/1000</f>
        <v>17033.366200608</v>
      </c>
      <c r="G18" s="225">
        <f>(BDBG!C719+BDBG!C773+BDBG!C828+BDBG!C882+BDBG!C936)/1000</f>
        <v>147018.29045</v>
      </c>
      <c r="H18" s="225">
        <f>(BDBG!C1044+BDBG!C1098)/1000</f>
        <v>2198.09564</v>
      </c>
      <c r="I18" s="225">
        <f>SUM(C18,D18,E18,F18,G18,H18)</f>
        <v>371541.24946259</v>
      </c>
      <c r="K18" t="s">
        <v>365</v>
      </c>
    </row>
    <row r="19" spans="1:12">
      <c r="B19" s="224" t="s">
        <v>366</v>
      </c>
      <c r="C19" s="225"/>
      <c r="D19" s="225">
        <f>(BDBG!C18+BDBG!C72+BDBG!C126+BDBG!C180+BDBG!C234+BDBG!C288)/1000</f>
        <v>0</v>
      </c>
      <c r="E19" s="225">
        <f>(BDBG!C1153+BDBG!C1207+BDBG!C1369+BDBG!C1477)*TC_MES/1000+BDBG!C1639*TC_MES/1000</f>
        <v>27219.551933952</v>
      </c>
      <c r="F19" s="225">
        <f>(BDBG!C1261+BDBG!C1315+BDBG!C1423+BDBG!C1531+BDBG!C1585)*TC_MES/1000</f>
        <v>1160.559900648</v>
      </c>
      <c r="G19" s="225">
        <f>(BDBG!C720+BDBG!C775+BDBG!C774+BDBG!C829+BDBG!C883+BDBG!C937)/1000</f>
        <v>15845.41272</v>
      </c>
      <c r="H19" s="225">
        <f>(BDBG!C1045+BDBG!C1099)/1000</f>
        <v>0</v>
      </c>
      <c r="I19" s="225">
        <f>SUM(C19,D19,E19,F19,G19,H19)</f>
        <v>44225.5245546</v>
      </c>
      <c r="K19" t="str">
        <f>BDBG!B774</f>
        <v>Tanques Estacionarios                   </v>
      </c>
      <c r="L19">
        <f>BDBG!A774</f>
        <v>175</v>
      </c>
    </row>
    <row r="20" spans="1:12">
      <c r="B20" s="224" t="s">
        <v>367</v>
      </c>
      <c r="C20" s="225"/>
      <c r="D20" s="225">
        <f>(BDBG!C19+BDBG!C73+BDBG!C127+BDBG!C181+BDBG!C235+BDBG!C289)/1000</f>
        <v>-178355.99335</v>
      </c>
      <c r="E20" s="225">
        <f>(BDBG!C1154+BDBG!C1208+BDBG!C1370+BDBG!C1478)*TC_MES/1000+BDBG!C1640*TC_MES/1000</f>
        <v>-74495.004540624</v>
      </c>
      <c r="F20" s="225">
        <f>(BDBG!C1262+BDBG!C1316+BDBG!C1424+BDBG!C1532+BDBG!C1586)*TC_MES/1000</f>
        <v>-60363.266733</v>
      </c>
      <c r="G20" s="225">
        <f>(BDBG!C721+BDBG!C776+BDBG!C830+BDBG!C884+BDBG!C938)/1000</f>
        <v>-228826.0031</v>
      </c>
      <c r="H20" s="225">
        <f>(BDBG!C1046+BDBG!C1100)/1000</f>
        <v>-3240.5734</v>
      </c>
      <c r="I20" s="225">
        <f>SUM(C20,D20,E20,F20,G20,H20)</f>
        <v>-545280.84112362</v>
      </c>
    </row>
    <row r="21" spans="1:12" hidden="true">
      <c r="B21" s="226" t="s">
        <v>368</v>
      </c>
      <c r="C21" s="227"/>
      <c r="D21" s="227">
        <f>(BDBG!C20+BDBG!C74+BDBG!C128+BDBG!C182+BDBG!C236+BDBG!C290)/1000</f>
        <v>146256.43564</v>
      </c>
      <c r="E21" s="227">
        <f>(BDBG!C1155+BDBG!C1209+BDBG!C1371+BDBG!C1479)*TC_MES/1000+BDBG!C1641*TC_MES/1000</f>
        <v>19527.589256112</v>
      </c>
      <c r="F21" s="227">
        <f>(BDBG!C1263+BDBG!C1317+BDBG!C1425+BDBG!C1533+BDBG!C1587)*TC_MES/1000</f>
        <v>233081.34832166</v>
      </c>
      <c r="G21" s="227">
        <f>(BDBG!C722+BDBG!C777+BDBG!C831+BDBG!C885+BDBG!C939+BDBG!C993)/1000</f>
        <v>298484.89706</v>
      </c>
      <c r="H21" s="227">
        <f>(BDBG!C1047+BDBG!C1101)/1000</f>
        <v>16469.59919</v>
      </c>
      <c r="I21" s="227">
        <f>SUM(C21,D21,E21,F21,G21,H21)</f>
        <v>713819.86946778</v>
      </c>
    </row>
    <row r="22" spans="1:12" hidden="true">
      <c r="B22" s="226" t="s">
        <v>369</v>
      </c>
      <c r="C22" s="225"/>
      <c r="D22" s="225">
        <f>(BDBG!C21+BDBG!C75+BDBG!C129+BDBG!C183+BDBG!C237+BDBG!C291)/1000</f>
        <v>0</v>
      </c>
      <c r="E22" s="225">
        <f>(BDBG!C1156+BDBG!C1210+BDBG!C1372+BDBG!C1480)*TC_MES/1000</f>
        <v>0</v>
      </c>
      <c r="F22" s="225">
        <f>(BDBG!C1264+BDBG!C1318+BDBG!C1426+BDBG!C1534+BDBG!C1588)*TC_MES/1000</f>
        <v>0</v>
      </c>
      <c r="G22" s="225">
        <f>(BDBG!C723+BDBG!C778+BDBG!C832+BDBG!C886+BDBG!C940+BDBG!C994)/1000</f>
        <v>0</v>
      </c>
      <c r="H22" s="225">
        <f>(BDBG!C1048+BDBG!C1102)/1000</f>
        <v>0</v>
      </c>
      <c r="I22" s="225">
        <f>SUM(C22,D22,E22,F22,G22,H22)</f>
        <v>0</v>
      </c>
    </row>
    <row r="23" spans="1:12">
      <c r="B23" s="224" t="s">
        <v>370</v>
      </c>
      <c r="C23" s="225"/>
      <c r="D23" s="225">
        <f>(BDBG!C22+BDBG!C76+BDBG!C130+BDBG!C184+BDBG!C238+BDBG!C292)/1000</f>
        <v>31953.40216</v>
      </c>
      <c r="E23" s="225">
        <f>(BDBG!C1157+BDBG!C1211+BDBG!C1373+BDBG!C1481)*TC_MES/1000+BDBG!C1643*TC_MES/1000+(BDBG!C1158+BDBG!C1212+BDBG!C1374+BDBG!C1482)*TC_MES/1000+BDBG!C1644*TC_MES/1000</f>
        <v>97390.644302592</v>
      </c>
      <c r="F23" s="225">
        <f>(BDBG!C1265+BDBG!C1319+BDBG!C1427+BDBG!C1535+BDBG!C1589)*TC_MES/1000+(BDBG!C1266+BDBG!C1320+BDBG!C1428+BDBG!C1536+BDBG!C1590)*TC_MES/1000</f>
        <v>-76582.0748664</v>
      </c>
      <c r="G23" s="225">
        <f>(BDBG!C724+BDBG!C779+BDBG!C833+BDBG!C887+BDBG!C941)/1000</f>
        <v>818.08855</v>
      </c>
      <c r="H23" s="225">
        <f>(BDBG!C1049+BDBG!C1103)/1000</f>
        <v>29.84384</v>
      </c>
      <c r="I23" s="225">
        <f>SUM(C23,D23,E23,F23,G23,H23)</f>
        <v>53609.903986192</v>
      </c>
    </row>
    <row r="24" spans="1:12">
      <c r="B24" s="224" t="s">
        <v>371</v>
      </c>
      <c r="C24" s="225"/>
      <c r="D24" s="225">
        <f>(BDBG!C23+BDBG!C77+BDBG!C131+BDBG!C185+BDBG!C239+BDBG!C293)/1000</f>
        <v>65408.02856</v>
      </c>
      <c r="E24" s="225">
        <v>0</v>
      </c>
      <c r="F24" s="225">
        <v>0</v>
      </c>
      <c r="G24" s="225">
        <f>(BDBG!C725+BDBG!C780+BDBG!C834+BDBG!C888+BDBG!C942+BDBG!C996)/1000</f>
        <v>10518.70815</v>
      </c>
      <c r="H24" s="225">
        <f>(BDBG!C1050+BDBG!C1104)/1000</f>
        <v>35297.82962</v>
      </c>
      <c r="I24" s="225">
        <f>SUM(C24,D24,E24,F24,G24,H24)</f>
        <v>111224.56633</v>
      </c>
    </row>
    <row r="25" spans="1:12">
      <c r="B25" s="224" t="s">
        <v>372</v>
      </c>
      <c r="C25" s="225"/>
      <c r="D25" s="225">
        <f>(BDBG!C24+BDBG!C78+BDBG!C132+BDBG!C186+BDBG!C240+BDBG!C294)/1000</f>
        <v>-27687.35856</v>
      </c>
      <c r="E25" s="225">
        <f>(BDBG!C1159+BDBG!C1213+BDBG!C1375+BDBG!C1483)*TC_MES/1000+BDBG!C1645*TC_MES/1000</f>
        <v>-28964.670442488</v>
      </c>
      <c r="F25" s="225">
        <f>(BDBG!C1267+BDBG!C1321+BDBG!C1429+BDBG!C1537+BDBG!C1591)*TC_MES/1000</f>
        <v>-1107.78915024</v>
      </c>
      <c r="G25" s="225">
        <f>(BDBG!C726+BDBG!C781+BDBG!C835+BDBG!C889+BDBG!C943)/1000</f>
        <v>0</v>
      </c>
      <c r="H25" s="225">
        <f>(BDBG!C1051+BDBG!C1105)/1000</f>
        <v>0</v>
      </c>
      <c r="I25" s="225">
        <f>SUM(C25,D25,E25,F25,G25,H25)</f>
        <v>-57759.818152728</v>
      </c>
    </row>
    <row r="26" spans="1:12">
      <c r="B26" s="226" t="s">
        <v>373</v>
      </c>
      <c r="C26" s="228"/>
      <c r="D26" s="228">
        <f>(BDBG!C25+BDBG!C79+BDBG!C133+BDBG!C187+BDBG!C241+BDBG!C295)/1000</f>
        <v>69674.07216</v>
      </c>
      <c r="E26" s="228">
        <f>(BDBG!C1160+BDBG!C1214+BDBG!C1376+BDBG!C1484)*TC_MES/1000+BDBG!C1646*TC_MES/1000</f>
        <v>68425.973860104</v>
      </c>
      <c r="F26" s="228">
        <f>(BDBG!C1268+BDBG!C1322+BDBG!C1430+BDBG!C1538+BDBG!C1592)*TC_MES/1000</f>
        <v>-77689.86401664</v>
      </c>
      <c r="G26" s="228">
        <f>(BDBG!C727+BDBG!C782+BDBG!C836+BDBG!C890+BDBG!C944)/1000</f>
        <v>11336.7967</v>
      </c>
      <c r="H26" s="228">
        <f>(BDBG!C1052+BDBG!C1106)/1000</f>
        <v>35327.67346</v>
      </c>
      <c r="I26" s="228">
        <f>SUM(C26,D26,E26,F26,G26,H26)</f>
        <v>107074.65216346</v>
      </c>
    </row>
    <row r="27" spans="1:12">
      <c r="B27" s="226" t="s">
        <v>374</v>
      </c>
      <c r="C27" s="225"/>
      <c r="D27" s="225"/>
      <c r="E27" s="225"/>
      <c r="F27" s="225"/>
      <c r="G27" s="225"/>
      <c r="H27" s="225"/>
      <c r="I27" s="225"/>
    </row>
    <row r="28" spans="1:12">
      <c r="B28" s="224" t="s">
        <v>375</v>
      </c>
      <c r="C28" s="229"/>
      <c r="D28" s="229">
        <f>(BDBG!C27+BDBG!C81+BDBG!C135+BDBG!C189+BDBG!C243+BDBG!C297)/1000</f>
        <v>0</v>
      </c>
      <c r="E28" s="229">
        <f>(BDBG!C1162+BDBG!C1216+BDBG!C1378+BDBG!C1486)*TC_MES/1000+BDBG!C1648*TC_MES/1000</f>
        <v>8176.452413544</v>
      </c>
      <c r="F28" s="229">
        <f>(BDBG!C1270+BDBG!C1324+BDBG!C1432+BDBG!C1540+BDBG!C1594)*TC_MES/1000</f>
        <v>9919.5160824</v>
      </c>
      <c r="G28" s="229">
        <f>(BDBG!C729+BDBG!C784+BDBG!C838+BDBG!C892+BDBG!C946)/1000</f>
        <v>1182.13719</v>
      </c>
      <c r="H28" s="229">
        <f>(BDBG!C1054+BDBG!C1108)/1000</f>
        <v>0</v>
      </c>
      <c r="I28" s="229">
        <f>SUM(C28,D28,E28,F28,G28,H28)</f>
        <v>19278.105685944</v>
      </c>
    </row>
    <row r="29" spans="1:12">
      <c r="B29" s="230" t="s">
        <v>376</v>
      </c>
      <c r="C29" s="227"/>
      <c r="D29" s="227">
        <f>SUM(D13,D14,D15,D16,D17,D18,D19,D20,D23,D24,D25,D28)</f>
        <v>215930.5078</v>
      </c>
      <c r="E29" s="227">
        <f>SUM(E13,E14,E15,E16,E17,E18,E19,E20,E23,E24,E25,E28)</f>
        <v>96130.01552976</v>
      </c>
      <c r="F29" s="227">
        <f>SUM(F13,F14,F15,F16,F17,F18,F19,F20,F23,F24,F25,F28)</f>
        <v>165311.00038742</v>
      </c>
      <c r="G29" s="227">
        <f>SUM(G13,G14,G15,G16,G17,G18,G19,G20,G23,G24,G25,G28)</f>
        <v>277003.89512</v>
      </c>
      <c r="H29" s="227">
        <f>SUM(H13,H14,H15,H16,H17,H18,H19,H20,H23,H24,H25,H28)</f>
        <v>51797.27265</v>
      </c>
      <c r="I29" s="227">
        <f>SUM(I13,I14,I15,I16,I17,I18,I19,I20,I23,I24,I25,I28)</f>
        <v>806172.69148718</v>
      </c>
    </row>
    <row r="30" spans="1:12">
      <c r="B30" s="231" t="s">
        <v>377</v>
      </c>
      <c r="C30" s="232"/>
      <c r="D30" s="232">
        <f>D11+D29</f>
        <v>455256.0066</v>
      </c>
      <c r="E30" s="232">
        <f>E11+E29</f>
        <v>126995.18514725</v>
      </c>
      <c r="F30" s="232">
        <f>F11+F29</f>
        <v>345968.20971</v>
      </c>
      <c r="G30" s="232">
        <f>G11+G29</f>
        <v>557550.42907</v>
      </c>
      <c r="H30" s="232">
        <f>H11+H29</f>
        <v>412724.91665</v>
      </c>
      <c r="I30" s="232">
        <f>I11+I29</f>
        <v>1898494.7471772</v>
      </c>
    </row>
    <row r="31" spans="1:12" customHeight="1" ht="9.65">
      <c r="B31" s="26"/>
      <c r="C31" s="233"/>
      <c r="D31" s="233"/>
      <c r="E31" s="233"/>
      <c r="F31" s="233"/>
      <c r="G31" s="233"/>
      <c r="H31" s="233"/>
      <c r="I31" s="233"/>
    </row>
    <row r="32" spans="1:12">
      <c r="B32" s="26"/>
      <c r="C32" s="234" t="s">
        <v>14</v>
      </c>
      <c r="D32" s="234" t="s">
        <v>15</v>
      </c>
      <c r="E32" s="234" t="s">
        <v>16</v>
      </c>
      <c r="F32" s="234" t="s">
        <v>17</v>
      </c>
      <c r="G32" s="234" t="s">
        <v>18</v>
      </c>
      <c r="H32" s="234" t="s">
        <v>19</v>
      </c>
      <c r="I32" s="234" t="s">
        <v>20</v>
      </c>
    </row>
    <row r="33" spans="1:12">
      <c r="B33" s="222" t="s">
        <v>378</v>
      </c>
      <c r="C33" s="223"/>
      <c r="D33" s="223"/>
      <c r="E33" s="223"/>
      <c r="F33" s="223"/>
      <c r="G33" s="223"/>
      <c r="H33" s="223"/>
      <c r="I33" s="223"/>
    </row>
    <row r="34" spans="1:12">
      <c r="B34" s="224" t="s">
        <v>270</v>
      </c>
      <c r="C34" s="225"/>
      <c r="D34" s="225">
        <f>(BDBG!C31+BDBG!C85+BDBG!C139+BDBG!C193+BDBG!C247+BDBG!C301)/1000</f>
        <v>-2574.68013</v>
      </c>
      <c r="E34" s="225">
        <f>(BDBG!C1166+BDBG!C1220+BDBG!C1382+BDBG!C1490)*TC_MES/1000+BDBG!C1652*TC_MES/1000</f>
        <v>1874.282778</v>
      </c>
      <c r="F34" s="225">
        <f>(BDBG!C1274+BDBG!C1328+BDBG!C1436+BDBG!C1544+BDBG!C1598)*TC_MES/1000</f>
        <v>214.514947944</v>
      </c>
      <c r="G34" s="225">
        <f>(BDBG!C733+BDBG!C788+BDBG!C842+BDBG!C896+BDBG!C950)/1000</f>
        <v>69827.64781</v>
      </c>
      <c r="H34" s="225">
        <f>(BDBG!C1058+BDBG!C1112)/1000</f>
        <v>1400</v>
      </c>
      <c r="I34" s="225">
        <f>SUM(C34,D34,E34,F34,G34,H34)</f>
        <v>70741.765405944</v>
      </c>
    </row>
    <row r="35" spans="1:12">
      <c r="B35" s="224" t="s">
        <v>379</v>
      </c>
      <c r="C35" s="225"/>
      <c r="D35" s="225">
        <f>(BDBG!C32+BDBG!C86+BDBG!C140+BDBG!C194+BDBG!C248+BDBG!C302)/1000</f>
        <v>165794.61247</v>
      </c>
      <c r="E35" s="225">
        <f>(BDBG!C1167+BDBG!C1221+BDBG!C1383+BDBG!C1491)*TC_MES/1000+BDBG!C1653*TC_MES/1000</f>
        <v>2202.931328544</v>
      </c>
      <c r="F35" s="225">
        <f>(BDBG!C1275+BDBG!C1329+BDBG!C1437+BDBG!C1545+BDBG!C1599)*TC_MES/1000</f>
        <v>24629.062066416</v>
      </c>
      <c r="G35" s="225">
        <f>(BDBG!C734+BDBG!C789+BDBG!C843+BDBG!C897+BDBG!C951)/1000</f>
        <v>42704.15834</v>
      </c>
      <c r="H35" s="225">
        <f>(BDBG!C1059+BDBG!C1113)/1000</f>
        <v>10973.43175</v>
      </c>
      <c r="I35" s="225">
        <f>SUM(C35,D35,E35,F35,G35,H35)</f>
        <v>246304.19595496</v>
      </c>
    </row>
    <row r="36" spans="1:12">
      <c r="B36" s="224" t="s">
        <v>380</v>
      </c>
      <c r="C36" s="225"/>
      <c r="D36" s="225">
        <f>(BDBG!C33+BDBG!C87+BDBG!C141+BDBG!C195+BDBG!C249+BDBG!C303)/1000</f>
        <v>0</v>
      </c>
      <c r="E36" s="225">
        <f>(BDBG!C1168+BDBG!C1222+BDBG!C1384+BDBG!C1492)*TC_MES/1000+BDBG!C1654*TC_MES/1000</f>
        <v>0</v>
      </c>
      <c r="F36" s="225">
        <f>(BDBG!C1276+BDBG!C1330+BDBG!C1438+BDBG!C1546+BDBG!C1600)*TC_MES/1000</f>
        <v>0</v>
      </c>
      <c r="G36" s="225">
        <f>(BDBG!C735+BDBG!C790+BDBG!C844+BDBG!C898+BDBG!C952)/1000</f>
        <v>4046.19686</v>
      </c>
      <c r="H36" s="225">
        <f>(BDBG!C1060+BDBG!C1114)/1000</f>
        <v>0</v>
      </c>
      <c r="I36" s="225">
        <f>SUM(C36,D36,E36,F36,G36,H36)</f>
        <v>4046.19686</v>
      </c>
    </row>
    <row r="37" spans="1:12">
      <c r="B37" s="224" t="s">
        <v>381</v>
      </c>
      <c r="C37" s="225"/>
      <c r="D37" s="225">
        <f>(BDBG!C34+BDBG!C88+BDBG!C142+BDBG!C196+BDBG!C250+BDBG!C304)/1000</f>
        <v>47863.19827</v>
      </c>
      <c r="E37" s="225">
        <f>(BDBG!C1169+BDBG!C1223+BDBG!C1385+BDBG!C1493)*TC_MES/1000+BDBG!C1655*TC_MES/1000</f>
        <v>5624.797397976</v>
      </c>
      <c r="F37" s="225">
        <f>(BDBG!C1277+BDBG!C1331+BDBG!C1439+BDBG!C1547+BDBG!C1601)*TC_MES/1000</f>
        <v>76842.032512968</v>
      </c>
      <c r="G37" s="225">
        <f>(BDBG!C736+BDBG!C791+BDBG!C845+BDBG!C899+BDBG!C953)/1000</f>
        <v>29270.22904</v>
      </c>
      <c r="H37" s="225">
        <f>(BDBG!C1061+BDBG!C1115)/1000</f>
        <v>3599.01318</v>
      </c>
      <c r="I37" s="225">
        <f>SUM(C37,D37,E37,F37,G37,H37)</f>
        <v>163199.27040094</v>
      </c>
    </row>
    <row r="38" spans="1:12">
      <c r="B38" s="224" t="s">
        <v>382</v>
      </c>
      <c r="C38" s="225"/>
      <c r="D38" s="225">
        <f>(BDBG!C35+BDBG!C89+BDBG!C143+BDBG!C197+BDBG!C251+BDBG!C305)/1000</f>
        <v>0</v>
      </c>
      <c r="E38" s="225">
        <f>(BDBG!C1170+BDBG!C1224+BDBG!C1386+BDBG!C1494)*TC_MES/1000+BDBG!C1656*TC_MES/1000</f>
        <v>0</v>
      </c>
      <c r="F38" s="225">
        <f>(BDBG!C1278+BDBG!C1332+BDBG!C1440+BDBG!C1548+BDBG!C1602)*TC_MES/1000</f>
        <v>0</v>
      </c>
      <c r="G38" s="225">
        <f>(BDBG!C737+BDBG!C792+BDBG!C846+BDBG!C900+BDBG!C954)/1000</f>
        <v>0</v>
      </c>
      <c r="H38" s="225">
        <f>(BDBG!C1062+BDBG!C1116)/1000</f>
        <v>0</v>
      </c>
      <c r="I38" s="225">
        <f>SUM(C38,D38,E38,F38,G38,H38)</f>
        <v>0</v>
      </c>
    </row>
    <row r="39" spans="1:12">
      <c r="B39" s="226" t="s">
        <v>383</v>
      </c>
      <c r="C39" s="227"/>
      <c r="D39" s="227">
        <f>SUM(D34,D35,D36,D37,D38)</f>
        <v>211083.13061</v>
      </c>
      <c r="E39" s="227">
        <f>SUM(E34,E35,E36,E37,E38)</f>
        <v>9702.01150452</v>
      </c>
      <c r="F39" s="227">
        <f>SUM(F34,F35,F36,F37,F38)</f>
        <v>101685.60952733</v>
      </c>
      <c r="G39" s="227">
        <f>SUM(G34,G35,G36,G37,G38)</f>
        <v>145848.23205</v>
      </c>
      <c r="H39" s="227">
        <f>SUM(H34,H35,H36,H37,H38)</f>
        <v>15972.44493</v>
      </c>
      <c r="I39" s="227">
        <f>SUM(I34,I35,I36,I37,I38)</f>
        <v>484291.42862185</v>
      </c>
    </row>
    <row r="40" spans="1:12">
      <c r="B40" s="226" t="s">
        <v>384</v>
      </c>
      <c r="C40" s="225"/>
      <c r="D40" s="225">
        <f>(BDBG!C37+BDBG!C91+BDBG!C145+BDBG!C199+BDBG!C253+BDBG!C307)/1000</f>
        <v>0</v>
      </c>
      <c r="E40" s="225">
        <f>(BDBG!C1172+BDBG!C1226+BDBG!C1388+BDBG!C1496)*TC_MES/1000</f>
        <v>0</v>
      </c>
      <c r="F40" s="225">
        <f>(BDBG!C1280+BDBG!C1334+BDBG!C1442+BDBG!C1550+BDBG!C1604)*TC_MES/1000</f>
        <v>0</v>
      </c>
      <c r="G40" s="225">
        <f>(BDBG!C739+BDBG!C794+BDBG!C848+BDBG!C902+BDBG!C956)/1000</f>
        <v>0</v>
      </c>
      <c r="H40" s="225">
        <f>(BDBG!C1064+BDBG!C1118)/1000</f>
        <v>0</v>
      </c>
      <c r="I40" s="225">
        <f>SUM(C40,D40,E40,F40,G40,H40)</f>
        <v>0</v>
      </c>
    </row>
    <row r="41" spans="1:12">
      <c r="B41" s="224" t="s">
        <v>385</v>
      </c>
      <c r="C41" s="225"/>
      <c r="D41" s="225">
        <f>(BDBG!C38+BDBG!C92+BDBG!C146+BDBG!C200+BDBG!C254+BDBG!C308)/1000</f>
        <v>0</v>
      </c>
      <c r="E41" s="225"/>
      <c r="F41" s="225">
        <f>(BDBG!C1281+BDBG!C1335+BDBG!C1443+BDBG!C1551+BDBG!C1605)*TC_MES/1000</f>
        <v>26245.200553416</v>
      </c>
      <c r="G41" s="225">
        <f>(BDBG!C740+BDBG!C795+BDBG!C849+BDBG!C903+BDBG!C957)/1000</f>
        <v>46.41792</v>
      </c>
      <c r="H41" s="225">
        <f>(BDBG!C1065+BDBG!C1119)/1000</f>
        <v>0</v>
      </c>
      <c r="I41" s="225">
        <f>SUM(C41,D41,E41,F41,G41,H41)</f>
        <v>26291.618473416</v>
      </c>
    </row>
    <row r="42" spans="1:12">
      <c r="B42" s="224" t="s">
        <v>386</v>
      </c>
      <c r="C42" s="225"/>
      <c r="D42" s="225">
        <f>(BDBG!C39+BDBG!C93+BDBG!C147+BDBG!C201+BDBG!C255+BDBG!C309)/1000</f>
        <v>22972.75296</v>
      </c>
      <c r="E42" s="225">
        <f>(BDBG!C1174+BDBG!C1228+BDBG!C1390+BDBG!C1498)*TC_MES/1000+BDBG!C1660*TC_MES/1000</f>
        <v>9758.466</v>
      </c>
      <c r="F42" s="225">
        <f>(BDBG!C1282+BDBG!C1336+BDBG!C1444+BDBG!C1552+BDBG!C1606)*TC_MES/1000</f>
        <v>99073.242089136</v>
      </c>
      <c r="G42" s="225">
        <f>(BDBG!C741+BDBG!C796+BDBG!C850+BDBG!C904+BDBG!C958)/1000</f>
        <v>53975.55604</v>
      </c>
      <c r="H42" s="225">
        <f>(BDBG!C1066+BDBG!C1120)/1000</f>
        <v>0</v>
      </c>
      <c r="I42" s="225">
        <f>SUM(C42,D42,E42,F42,G42,H42)</f>
        <v>185780.01708914</v>
      </c>
    </row>
    <row r="43" spans="1:12">
      <c r="B43" s="224" t="s">
        <v>387</v>
      </c>
      <c r="C43" s="225"/>
      <c r="D43" s="225">
        <f>(BDBG!C40+BDBG!C94+BDBG!C148+BDBG!C202+BDBG!C256+BDBG!C310)/1000</f>
        <v>199.64113</v>
      </c>
      <c r="E43" s="225">
        <f>(BDBG!C1175+ BDBG!C1173+BDBG!C1229+ BDBG!C1227+BDBG!C1391+ BDBG!C1389+BDBG!C1499+ BDBG!C1497)*TC_MES/1000+(BDBG!C1659+BDBG!C1661)*TC_MES/1000</f>
        <v>311546.77072142</v>
      </c>
      <c r="F43" s="225">
        <f>(BDBG!C1283+BDBG!C1281+BDBG!C1337+BDBG!C1335+BDBG!C1445+BDBG!C1443+BDBG!C1553+BDBG!C1551+BDBG!C1607+BDBG!C1605)*TC_MES/1000</f>
        <v>26245.200553416</v>
      </c>
      <c r="G43" s="225">
        <f>(BDBG!C742+BDBG!C797+BDBG!C851+BDBG!C905+BDBG!C959)/1000</f>
        <v>246.57281</v>
      </c>
      <c r="H43" s="225">
        <f>(BDBG!C1067+BDBG!C1121)/1000</f>
        <v>0</v>
      </c>
      <c r="I43" s="225">
        <f>SUM(C43,D43,E43,F43,G43,H43)</f>
        <v>338238.18521484</v>
      </c>
    </row>
    <row r="44" spans="1:12" hidden="true">
      <c r="B44" s="226" t="s">
        <v>388</v>
      </c>
      <c r="C44" s="227"/>
      <c r="D44" s="227">
        <f>(BDBG!C41+BDBG!C95+BDBG!C149+BDBG!C203+BDBG!C257+BDBG!C311)/1000</f>
        <v>23172.39409</v>
      </c>
      <c r="E44" s="227">
        <f>(BDBG!C1176+BDBG!C1230+BDBG!C1392+BDBG!C1500)*TC_MES/1000+BDBG!C1662*TC_MES/1000</f>
        <v>321305.23672142</v>
      </c>
      <c r="F44" s="227">
        <f>(BDBG!C1284+BDBG!C1338+BDBG!C1446+BDBG!C1554+BDBG!C1608)*TC_MES/1000</f>
        <v>125318.44264255</v>
      </c>
      <c r="G44" s="227">
        <f>BDBG!C743+BDBG!C798+BDBG!C852+BDBG!C906+BDBG!C960+BDBG!C1014</f>
        <v>54268546.77</v>
      </c>
      <c r="H44" s="227">
        <f>(BDBG!C1068+BDBG!C1122)/1000</f>
        <v>0</v>
      </c>
      <c r="I44" s="227">
        <f>SUM(C44,D44,E44,F44,G44,H44)</f>
        <v>54738342.843454</v>
      </c>
    </row>
    <row r="45" spans="1:12" hidden="true">
      <c r="B45" s="226" t="s">
        <v>389</v>
      </c>
      <c r="C45" s="225"/>
      <c r="D45" s="225">
        <f>(BDBG!C42+BDBG!C96+BDBG!C150+BDBG!C204+BDBG!C258+BDBG!C312)/1000</f>
        <v>0</v>
      </c>
      <c r="E45" s="225">
        <f>(BDBG!C1177+BDBG!C1231+BDBG!C1393+BDBG!C1501)*TC_MES/1000+BDBG!C1663*TC_MES/1000</f>
        <v>0</v>
      </c>
      <c r="F45" s="225">
        <f>(BDBG!C1285+BDBG!C1339+BDBG!C1447+BDBG!C1555+BDBG!C1609)*TC_MES/1000</f>
        <v>0</v>
      </c>
      <c r="G45" s="225">
        <f>BDBG!C744+BDBG!C799+BDBG!C853+BDBG!C907+BDBG!C961+BDBG!C1015</f>
        <v>0</v>
      </c>
      <c r="H45" s="225">
        <f>(BDBG!C1069+BDBG!C1123)/1000</f>
        <v>0</v>
      </c>
      <c r="I45" s="225">
        <f>SUM(C45,D45,E45,F45,G45,H45)</f>
        <v>0</v>
      </c>
    </row>
    <row r="46" spans="1:12">
      <c r="B46" s="224" t="s">
        <v>390</v>
      </c>
      <c r="C46" s="225"/>
      <c r="D46" s="225">
        <f>(BDBG!C43+BDBG!C97+BDBG!C151+BDBG!C205+BDBG!C259+BDBG!C313)/1000</f>
        <v>0</v>
      </c>
      <c r="E46" s="225">
        <f>(BDBG!C1178+BDBG!C1232+BDBG!C1394+BDBG!C1502)*TC_MES/1000+BDBG!C1664*TC_MES/1000</f>
        <v>0</v>
      </c>
      <c r="F46" s="225">
        <f>(BDBG!C1286+BDBG!C1340+BDBG!C1448+BDBG!C1556+BDBG!C1610)*TC_MES/1000</f>
        <v>0</v>
      </c>
      <c r="G46" s="225">
        <f>(BDBG!C745+BDBG!C800+BDBG!C854+BDBG!C908+BDBG!C962)/1000</f>
        <v>0</v>
      </c>
      <c r="H46" s="225">
        <f>(BDBG!C1070+BDBG!C1124)/1000</f>
        <v>61671.97685</v>
      </c>
      <c r="I46" s="225">
        <f>SUM(C46,D46,E46,F46,G46,H46)</f>
        <v>61671.97685</v>
      </c>
    </row>
    <row r="47" spans="1:12">
      <c r="B47" s="226" t="s">
        <v>391</v>
      </c>
      <c r="C47" s="227"/>
      <c r="D47" s="227">
        <f>SUM(D41,D42,D43,D46)</f>
        <v>23172.39409</v>
      </c>
      <c r="E47" s="227">
        <f>SUM(E41,E42,E43,E46)</f>
        <v>321305.23672142</v>
      </c>
      <c r="F47" s="227">
        <f>SUM(F41,F42,F43,F46)</f>
        <v>151563.64319597</v>
      </c>
      <c r="G47" s="227">
        <f>SUM(G41,G42,G43,G46)</f>
        <v>54268.54677</v>
      </c>
      <c r="H47" s="227">
        <f>SUM(H41,H42,H43,H46)</f>
        <v>61671.97685</v>
      </c>
      <c r="I47" s="227">
        <f>SUM(I41,I42,I43,I46)</f>
        <v>611981.79762739</v>
      </c>
    </row>
    <row r="48" spans="1:12">
      <c r="B48" s="226" t="s">
        <v>392</v>
      </c>
      <c r="C48" s="225"/>
      <c r="D48" s="225"/>
      <c r="E48" s="225"/>
      <c r="F48" s="225"/>
      <c r="G48" s="225"/>
      <c r="H48" s="225"/>
      <c r="I48" s="225"/>
    </row>
    <row r="49" spans="1:12">
      <c r="B49" s="224" t="s">
        <v>276</v>
      </c>
      <c r="C49" s="225"/>
      <c r="D49" s="225">
        <f>(BDBG!C46+BDBG!C100+BDBG!C154+BDBG!C208+BDBG!C262+BDBG!C316)/1000</f>
        <v>93696.80467</v>
      </c>
      <c r="E49" s="225">
        <f>(BDBG!C1181+BDBG!C1235+BDBG!C1397+BDBG!C1505)*TC_MES/1000+BDBG!C1667*TC_MES/1000</f>
        <v>121.3488</v>
      </c>
      <c r="F49" s="225">
        <f>(BDBG!C1289+BDBG!C1343+BDBG!C1451+BDBG!C1559+BDBG!C1613)*TC_MES/1000</f>
        <v>43237.528814592</v>
      </c>
      <c r="G49" s="225">
        <f>(BDBG!C748+BDBG!C803+BDBG!C857+BDBG!C911+BDBG!C965)/1000</f>
        <v>139723.71555</v>
      </c>
      <c r="H49" s="225">
        <f>(BDBG!C1073+BDBG!C1127)/1000</f>
        <v>52378.38358</v>
      </c>
      <c r="I49" s="225">
        <f>SUM(C49,D49,E49,F49,G49,H49)</f>
        <v>329157.78141459</v>
      </c>
    </row>
    <row r="50" spans="1:12">
      <c r="B50" s="224" t="s">
        <v>393</v>
      </c>
      <c r="C50" s="225"/>
      <c r="D50" s="225">
        <f>(BDBG!C47+BDBG!C101+BDBG!C155+BDBG!C209+BDBG!C263+BDBG!C317)/1000</f>
        <v>1677.87007</v>
      </c>
      <c r="E50" s="225">
        <f>(BDBG!C1182+BDBG!C1236+BDBG!C1398+BDBG!C1506)*TC_MES/1000+BDBG!C1668*TC_MES/1000</f>
        <v>0</v>
      </c>
      <c r="F50" s="225">
        <f>(BDBG!C1290+BDBG!C1344+BDBG!C1452+BDBG!C1560+BDBG!C1614)*TC_MES/1000</f>
        <v>0</v>
      </c>
      <c r="G50" s="225">
        <f>(BDBG!C749+BDBG!C804+BDBG!C858+BDBG!C912+BDBG!C966)/1000</f>
        <v>9050.27771</v>
      </c>
      <c r="H50" s="225">
        <f>(BDBG!C1074+BDBG!C1128)/1000</f>
        <v>1426.49575</v>
      </c>
      <c r="I50" s="225">
        <f>SUM(C50,D50,E50,F50,G50,H50)</f>
        <v>12154.64353</v>
      </c>
    </row>
    <row r="51" spans="1:12">
      <c r="B51" s="224" t="s">
        <v>394</v>
      </c>
      <c r="C51" s="225"/>
      <c r="D51" s="225">
        <f>(BDBG!C48+BDBG!C102+BDBG!C156+BDBG!C210+BDBG!C264+BDBG!C318)/1000</f>
        <v>138403.66785</v>
      </c>
      <c r="E51" s="225">
        <f>(BDBG!C1183+BDBG!C1237+BDBG!C1399+BDBG!C1507)*TC_MES/1000+BDBG!C1669*TC_MES/1000</f>
        <v>-287003.93223586</v>
      </c>
      <c r="F51" s="225">
        <f>(BDBG!C1291+BDBG!C1345+BDBG!C1453+BDBG!C1561+BDBG!C1615)*TC_MES/1000</f>
        <v>71750.952013896</v>
      </c>
      <c r="G51" s="225">
        <f>(BDBG!C750+BDBG!C805+BDBG!C859+BDBG!C913+BDBG!C967)/1000</f>
        <v>188550.44254</v>
      </c>
      <c r="H51" s="225">
        <f>(BDBG!C1075+BDBG!C1129)/1000</f>
        <v>278779.00587</v>
      </c>
      <c r="I51" s="225">
        <f>SUM(C51,D51,E51,F51,G51,H51)</f>
        <v>390480.13603804</v>
      </c>
    </row>
    <row r="52" spans="1:12">
      <c r="B52" s="224" t="s">
        <v>395</v>
      </c>
      <c r="C52" s="225"/>
      <c r="D52" s="225">
        <f>(BDBG!C49+BDBG!C103+BDBG!C157+BDBG!C211+BDBG!C265+BDBG!C319)/1000</f>
        <v>4029.72081</v>
      </c>
      <c r="E52" s="225">
        <f>(BDBG!C1184+BDBG!C1238+BDBG!C1400+BDBG!C1508)*TC_MES/1000+BDBG!C1670*TC_MES/1000</f>
        <v>2006.763712416</v>
      </c>
      <c r="F52" s="225">
        <f>(BDBG!C1292+BDBG!C1346+BDBG!C1454+BDBG!C1562+BDBG!C1616)*TC_MES/1000</f>
        <v>798.22027152</v>
      </c>
      <c r="G52" s="225">
        <f>(BDBG!C751+BDBG!C806+BDBG!C860+BDBG!C914+BDBG!C968)/1000</f>
        <v>6741.60544</v>
      </c>
      <c r="H52" s="225">
        <f>(BDBG!C1076+BDBG!C1130)/1000</f>
        <v>2537.70181</v>
      </c>
      <c r="I52" s="225">
        <f>SUM(C52,D52,E52,F52,G52,H52)</f>
        <v>16114.012043936</v>
      </c>
    </row>
    <row r="53" spans="1:12">
      <c r="B53" s="224" t="s">
        <v>396</v>
      </c>
      <c r="C53" s="225"/>
      <c r="D53" s="225">
        <f>(BDBG!C50+BDBG!C104+BDBG!C158+BDBG!C212+BDBG!C266+BDBG!C320)/1000</f>
        <v>-16628.71142</v>
      </c>
      <c r="E53" s="225">
        <f>(BDBG!C1185+BDBG!C1239+BDBG!C1401+BDBG!C1509)*TC_MES/1000+BDBG!C1671*TC_MES/1000</f>
        <v>80863.756644744</v>
      </c>
      <c r="F53" s="225">
        <f>(BDBG!C1293+BDBG!C1347+BDBG!C1455+BDBG!C1563+BDBG!C1617)*TC_MES/1000</f>
        <v>3177.456440112</v>
      </c>
      <c r="G53" s="225">
        <f>(BDBG!C752+BDBG!C807+BDBG!C861+BDBG!C915+BDBG!C969)/1000</f>
        <v>13367.60901</v>
      </c>
      <c r="H53" s="225">
        <f>(BDBG!C1077+BDBG!C1131)/1000</f>
        <v>-41.09214</v>
      </c>
      <c r="I53" s="225">
        <f>SUM(C53,D53,E53,F53,G53,H53)</f>
        <v>80739.018534856</v>
      </c>
    </row>
    <row r="54" spans="1:12">
      <c r="B54" s="224" t="s">
        <v>397</v>
      </c>
      <c r="C54" s="225"/>
      <c r="D54" s="225">
        <f>(BDBG!C51+BDBG!C105+BDBG!C159+BDBG!C213+BDBG!C267+BDBG!C321)/1000</f>
        <v>-178.87008</v>
      </c>
      <c r="E54" s="225">
        <f>(BDBG!C1186+BDBG!C1240+BDBG!C1402+BDBG!C1510)*TC_MES/1000+BDBG!C1672*TC_MES/1000</f>
        <v>0</v>
      </c>
      <c r="F54" s="225">
        <f>(BDBG!C1294+BDBG!C1348+BDBG!C1456+BDBG!C1564+BDBG!C1618)*TC_MES/1000</f>
        <v>0</v>
      </c>
      <c r="G54" s="225">
        <f>(BDBG!C753+BDBG!C808+BDBG!C862+BDBG!C916+BDBG!C970)/1000</f>
        <v>0</v>
      </c>
      <c r="H54" s="225">
        <f>(BDBG!C1078+BDBG!C1132)/1000</f>
        <v>0</v>
      </c>
      <c r="I54" s="225">
        <f>SUM(C54,D54,E54,F54,G54,H54)</f>
        <v>-178.87008</v>
      </c>
    </row>
    <row r="55" spans="1:12">
      <c r="B55" s="230" t="s">
        <v>398</v>
      </c>
      <c r="C55" s="232"/>
      <c r="D55" s="232">
        <f>SUM(D49,D50,D51,D52,D53,D54)</f>
        <v>221000.4819</v>
      </c>
      <c r="E55" s="232">
        <f>SUM(E49,E50,E51,E52,E53,E54)</f>
        <v>-204012.0630787</v>
      </c>
      <c r="F55" s="232">
        <f>SUM(F49,F50,F51,F52,F53,F54)</f>
        <v>118964.15754012</v>
      </c>
      <c r="G55" s="232">
        <f>SUM(G49,G50,G51,G52,G53,G54)</f>
        <v>357433.65025</v>
      </c>
      <c r="H55" s="232">
        <f>SUM(H49,H50,H51,H52,H53,H54)</f>
        <v>335080.49487</v>
      </c>
      <c r="I55" s="232">
        <f>SUM(I49,I50,I51,I52,I53,I54)</f>
        <v>828466.72148142</v>
      </c>
    </row>
    <row r="56" spans="1:12">
      <c r="B56" s="26" t="s">
        <v>399</v>
      </c>
      <c r="C56" s="233"/>
      <c r="D56" s="233">
        <f>D39+D47+D55</f>
        <v>455256.0066</v>
      </c>
      <c r="E56" s="233">
        <f>E39+E47+E55</f>
        <v>126995.18514725</v>
      </c>
      <c r="F56" s="233">
        <f>F39+F47+F55</f>
        <v>372213.41026342</v>
      </c>
      <c r="G56" s="233">
        <f>G39+G47+G55</f>
        <v>557550.42907</v>
      </c>
      <c r="H56" s="233">
        <f>H39+H47+H55</f>
        <v>412724.91665</v>
      </c>
      <c r="I56" s="233">
        <f>I39+I47+I55</f>
        <v>1924739.9477307</v>
      </c>
    </row>
    <row r="57" spans="1:12">
      <c r="B57" s="1" t="s">
        <v>400</v>
      </c>
      <c r="D57">
        <f>(BDBG!C54+BDBG!C108+BDBG!C162+BDBG!C216+BDBG!C270+BDBG!C324)/1000</f>
        <v>0</v>
      </c>
      <c r="E57">
        <f>(BDBG!C1189+BDBG!C1243+BDBG!C1405+BDBG!C1513)*TC_MES/1000</f>
        <v>0</v>
      </c>
      <c r="F57">
        <f>(BDBG!C1297+BDBG!C1351+BDBG!C1459+BDBG!C1567+BDBG!C1621)*TC_MES/1000</f>
        <v>0</v>
      </c>
      <c r="G57">
        <f>BDBG!C756+BDBG!C811+BDBG!C865+BDBG!C919+BDBG!C973+BDBG!C1027</f>
        <v>0</v>
      </c>
      <c r="H57">
        <f>(BDBG!C1081+BDBG!C1135)/1000</f>
        <v>0</v>
      </c>
      <c r="I57">
        <f>SUM(C57,D57,E57,F57,G57,H57)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BDER_sig">
    <outlinePr summaryBelow="1" summaryRight="1"/>
  </sheetPr>
  <dimension ref="A1:AS688"/>
  <sheetViews>
    <sheetView tabSelected="0" workbookViewId="0" showGridLines="true" showRowColHeaders="1">
      <selection activeCell="A1" sqref="A1:E688"/>
    </sheetView>
  </sheetViews>
  <sheetFormatPr defaultRowHeight="14.4" defaultColWidth="8.7265625" outlineLevelRow="0" outlineLevelCol="0"/>
  <cols>
    <col min="1" max="1" width="16.81640625" customWidth="true" style="295"/>
    <col min="2" max="2" width="8.7265625" style="295"/>
  </cols>
  <sheetData>
    <row r="1" spans="1:45">
      <c r="A1" s="295" t="s">
        <v>401</v>
      </c>
      <c r="B1" s="295" t="s">
        <v>402</v>
      </c>
      <c r="C1" t="s">
        <v>403</v>
      </c>
      <c r="D1" t="s">
        <v>404</v>
      </c>
      <c r="E1" t="s">
        <v>405</v>
      </c>
    </row>
    <row r="2" spans="1:45">
      <c r="A2" s="295">
        <v>30</v>
      </c>
      <c r="B2" s="295" t="s">
        <v>406</v>
      </c>
      <c r="C2">
        <v>25567297.98</v>
      </c>
      <c r="D2">
        <v>0</v>
      </c>
      <c r="E2" t="s">
        <v>407</v>
      </c>
    </row>
    <row r="3" spans="1:45">
      <c r="A3" s="295">
        <v>40</v>
      </c>
      <c r="B3" s="295" t="s">
        <v>408</v>
      </c>
      <c r="C3">
        <v>0</v>
      </c>
      <c r="D3">
        <v>0</v>
      </c>
      <c r="E3" t="s">
        <v>407</v>
      </c>
    </row>
    <row r="4" spans="1:45">
      <c r="A4" s="295">
        <v>50</v>
      </c>
      <c r="B4" s="295" t="s">
        <v>409</v>
      </c>
      <c r="C4">
        <v>25567297.98</v>
      </c>
      <c r="D4">
        <v>0</v>
      </c>
      <c r="E4" t="s">
        <v>407</v>
      </c>
      <c r="AS4" s="295" t="str">
        <f>BDER_sig!D</f>
        <v>0</v>
      </c>
    </row>
    <row r="5" spans="1:45">
      <c r="A5" s="295">
        <v>60</v>
      </c>
      <c r="B5" s="295" t="s">
        <v>410</v>
      </c>
      <c r="C5">
        <v>9164790.37</v>
      </c>
      <c r="D5">
        <v>0</v>
      </c>
      <c r="E5" t="s">
        <v>407</v>
      </c>
    </row>
    <row r="6" spans="1:45">
      <c r="A6" s="295">
        <v>70</v>
      </c>
      <c r="B6" s="295" t="s">
        <v>411</v>
      </c>
      <c r="C6">
        <v>16402507.61</v>
      </c>
      <c r="D6">
        <v>0</v>
      </c>
      <c r="E6" t="s">
        <v>407</v>
      </c>
    </row>
    <row r="7" spans="1:45">
      <c r="A7" s="295">
        <v>80</v>
      </c>
      <c r="B7" s="295" t="s">
        <v>412</v>
      </c>
      <c r="C7">
        <v>11019285.81</v>
      </c>
      <c r="D7">
        <v>0</v>
      </c>
      <c r="E7" t="s">
        <v>407</v>
      </c>
    </row>
    <row r="8" spans="1:45">
      <c r="A8" s="295">
        <v>90</v>
      </c>
      <c r="B8" s="295" t="s">
        <v>413</v>
      </c>
      <c r="C8">
        <v>2825774.7</v>
      </c>
      <c r="D8">
        <v>0</v>
      </c>
      <c r="E8" t="s">
        <v>407</v>
      </c>
    </row>
    <row r="9" spans="1:45">
      <c r="A9" s="295">
        <v>100</v>
      </c>
      <c r="B9" s="295" t="s">
        <v>414</v>
      </c>
      <c r="C9">
        <v>679514.94</v>
      </c>
      <c r="D9">
        <v>0</v>
      </c>
      <c r="E9" t="s">
        <v>407</v>
      </c>
    </row>
    <row r="10" spans="1:45">
      <c r="A10" s="295">
        <v>110</v>
      </c>
      <c r="B10" s="295" t="s">
        <v>415</v>
      </c>
      <c r="C10">
        <v>14524575.45</v>
      </c>
      <c r="D10">
        <v>0</v>
      </c>
      <c r="E10" t="s">
        <v>407</v>
      </c>
    </row>
    <row r="11" spans="1:45">
      <c r="A11" s="295">
        <v>120</v>
      </c>
      <c r="B11" s="295" t="s">
        <v>416</v>
      </c>
      <c r="C11">
        <v>1877932.16</v>
      </c>
      <c r="D11">
        <v>0</v>
      </c>
      <c r="E11" t="s">
        <v>407</v>
      </c>
    </row>
    <row r="12" spans="1:45">
      <c r="A12" s="295">
        <v>130</v>
      </c>
      <c r="B12" s="295" t="s">
        <v>417</v>
      </c>
      <c r="C12">
        <v>270635.8</v>
      </c>
      <c r="D12">
        <v>0</v>
      </c>
      <c r="E12" t="s">
        <v>407</v>
      </c>
    </row>
    <row r="13" spans="1:45">
      <c r="A13" s="295">
        <v>135</v>
      </c>
      <c r="B13" s="295" t="s">
        <v>418</v>
      </c>
      <c r="C13">
        <v>-142745.88</v>
      </c>
      <c r="D13">
        <v>0</v>
      </c>
      <c r="E13" t="s">
        <v>407</v>
      </c>
    </row>
    <row r="14" spans="1:45">
      <c r="A14" s="295">
        <v>140</v>
      </c>
      <c r="B14" s="295" t="s">
        <v>419</v>
      </c>
      <c r="C14">
        <v>375635.54</v>
      </c>
      <c r="D14">
        <v>0</v>
      </c>
      <c r="E14" t="s">
        <v>407</v>
      </c>
    </row>
    <row r="15" spans="1:45">
      <c r="A15" s="295">
        <v>150</v>
      </c>
      <c r="B15" s="295" t="s">
        <v>420</v>
      </c>
      <c r="C15">
        <v>39099.93</v>
      </c>
      <c r="D15">
        <v>0</v>
      </c>
      <c r="E15" t="s">
        <v>407</v>
      </c>
    </row>
    <row r="16" spans="1:45">
      <c r="A16" s="295">
        <v>155</v>
      </c>
      <c r="B16" s="295" t="s">
        <v>421</v>
      </c>
      <c r="C16">
        <v>0</v>
      </c>
      <c r="D16">
        <v>0</v>
      </c>
      <c r="E16" t="s">
        <v>407</v>
      </c>
    </row>
    <row r="17" spans="1:45">
      <c r="A17" s="295">
        <v>160</v>
      </c>
      <c r="B17" s="295" t="s">
        <v>422</v>
      </c>
      <c r="C17">
        <v>464425.53</v>
      </c>
      <c r="D17">
        <v>0</v>
      </c>
      <c r="E17" t="s">
        <v>407</v>
      </c>
    </row>
    <row r="18" spans="1:45">
      <c r="A18" s="295">
        <v>170</v>
      </c>
      <c r="B18" s="295" t="s">
        <v>423</v>
      </c>
      <c r="C18">
        <v>1413506.63</v>
      </c>
      <c r="D18">
        <v>0</v>
      </c>
      <c r="E18" t="s">
        <v>407</v>
      </c>
    </row>
    <row r="19" spans="1:45">
      <c r="A19" s="295">
        <v>180</v>
      </c>
      <c r="B19" s="295" t="s">
        <v>424</v>
      </c>
      <c r="C19">
        <v>635520.81</v>
      </c>
      <c r="D19">
        <v>0</v>
      </c>
      <c r="E19" t="s">
        <v>407</v>
      </c>
    </row>
    <row r="20" spans="1:45">
      <c r="A20" s="295">
        <v>190</v>
      </c>
      <c r="B20" s="295" t="s">
        <v>425</v>
      </c>
      <c r="C20">
        <v>0</v>
      </c>
      <c r="D20">
        <v>0</v>
      </c>
      <c r="E20" t="s">
        <v>407</v>
      </c>
    </row>
    <row r="21" spans="1:45">
      <c r="A21" s="295">
        <v>200</v>
      </c>
      <c r="B21" s="295" t="s">
        <v>426</v>
      </c>
      <c r="C21">
        <v>777985.82</v>
      </c>
      <c r="D21">
        <v>0</v>
      </c>
      <c r="E21" t="s">
        <v>407</v>
      </c>
    </row>
    <row r="22" spans="1:45">
      <c r="A22" s="295">
        <v>210</v>
      </c>
      <c r="B22" s="295" t="s">
        <v>427</v>
      </c>
      <c r="C22">
        <v>2557447.1</v>
      </c>
      <c r="D22">
        <v>0</v>
      </c>
      <c r="E22" t="s">
        <v>407</v>
      </c>
    </row>
    <row r="23" spans="1:45">
      <c r="A23" s="295" t="s">
        <v>428</v>
      </c>
      <c r="B23" s="295" t="s">
        <v>402</v>
      </c>
      <c r="C23" t="s">
        <v>403</v>
      </c>
      <c r="D23" t="s">
        <v>429</v>
      </c>
      <c r="E23" t="s">
        <v>405</v>
      </c>
    </row>
    <row r="24" spans="1:45">
      <c r="A24" s="295">
        <v>30</v>
      </c>
      <c r="B24" s="295" t="s">
        <v>406</v>
      </c>
      <c r="C24">
        <v>4070686.63</v>
      </c>
      <c r="D24">
        <v>0</v>
      </c>
      <c r="E24" t="s">
        <v>407</v>
      </c>
    </row>
    <row r="25" spans="1:45">
      <c r="A25" s="295">
        <v>40</v>
      </c>
      <c r="B25" s="295" t="s">
        <v>408</v>
      </c>
      <c r="C25">
        <v>0</v>
      </c>
      <c r="D25">
        <v>0</v>
      </c>
      <c r="E25" t="s">
        <v>407</v>
      </c>
    </row>
    <row r="26" spans="1:45">
      <c r="A26" s="295">
        <v>50</v>
      </c>
      <c r="B26" s="295" t="s">
        <v>409</v>
      </c>
      <c r="C26">
        <v>4070686.63</v>
      </c>
      <c r="D26">
        <v>0</v>
      </c>
      <c r="E26" t="s">
        <v>407</v>
      </c>
    </row>
    <row r="27" spans="1:45">
      <c r="A27" s="295">
        <v>60</v>
      </c>
      <c r="B27" s="295" t="s">
        <v>410</v>
      </c>
      <c r="C27">
        <v>2500102.37</v>
      </c>
      <c r="D27">
        <v>0</v>
      </c>
      <c r="E27" t="s">
        <v>407</v>
      </c>
    </row>
    <row r="28" spans="1:45">
      <c r="A28" s="295">
        <v>70</v>
      </c>
      <c r="B28" s="295" t="s">
        <v>411</v>
      </c>
      <c r="C28">
        <v>1570584.26</v>
      </c>
      <c r="D28">
        <v>0</v>
      </c>
      <c r="E28" t="s">
        <v>407</v>
      </c>
    </row>
    <row r="29" spans="1:45">
      <c r="A29" s="295">
        <v>80</v>
      </c>
      <c r="B29" s="295" t="s">
        <v>412</v>
      </c>
      <c r="C29">
        <v>0</v>
      </c>
      <c r="D29">
        <v>0</v>
      </c>
      <c r="E29" t="s">
        <v>407</v>
      </c>
    </row>
    <row r="30" spans="1:45">
      <c r="A30" s="295">
        <v>90</v>
      </c>
      <c r="B30" s="295" t="s">
        <v>413</v>
      </c>
      <c r="C30">
        <v>1312739.67</v>
      </c>
      <c r="D30">
        <v>0</v>
      </c>
      <c r="E30" t="s">
        <v>407</v>
      </c>
    </row>
    <row r="31" spans="1:45">
      <c r="A31" s="295">
        <v>100</v>
      </c>
      <c r="B31" s="295" t="s">
        <v>414</v>
      </c>
      <c r="C31">
        <v>0</v>
      </c>
      <c r="D31">
        <v>0</v>
      </c>
      <c r="E31" t="s">
        <v>407</v>
      </c>
    </row>
    <row r="32" spans="1:45">
      <c r="A32" s="295">
        <v>110</v>
      </c>
      <c r="B32" s="295" t="s">
        <v>415</v>
      </c>
      <c r="C32">
        <v>1312739.67</v>
      </c>
      <c r="D32">
        <v>0</v>
      </c>
      <c r="E32" t="s">
        <v>407</v>
      </c>
    </row>
    <row r="33" spans="1:45">
      <c r="A33" s="295">
        <v>120</v>
      </c>
      <c r="B33" s="295" t="s">
        <v>416</v>
      </c>
      <c r="C33">
        <v>257844.59</v>
      </c>
      <c r="D33">
        <v>0</v>
      </c>
      <c r="E33" t="s">
        <v>407</v>
      </c>
    </row>
    <row r="34" spans="1:45">
      <c r="A34" s="295">
        <v>130</v>
      </c>
      <c r="B34" s="295" t="s">
        <v>417</v>
      </c>
      <c r="C34">
        <v>164225.38</v>
      </c>
      <c r="D34">
        <v>0</v>
      </c>
      <c r="E34" t="s">
        <v>407</v>
      </c>
    </row>
    <row r="35" spans="1:45">
      <c r="A35" s="295">
        <v>135</v>
      </c>
      <c r="B35" s="295" t="s">
        <v>418</v>
      </c>
      <c r="C35">
        <v>-19802.06</v>
      </c>
      <c r="D35">
        <v>0</v>
      </c>
      <c r="E35" t="s">
        <v>407</v>
      </c>
    </row>
    <row r="36" spans="1:45">
      <c r="A36" s="295">
        <v>140</v>
      </c>
      <c r="B36" s="295" t="s">
        <v>419</v>
      </c>
      <c r="C36">
        <v>1955.16</v>
      </c>
      <c r="D36">
        <v>0</v>
      </c>
      <c r="E36" t="s">
        <v>407</v>
      </c>
    </row>
    <row r="37" spans="1:45">
      <c r="A37" s="295">
        <v>150</v>
      </c>
      <c r="B37" s="295" t="s">
        <v>420</v>
      </c>
      <c r="C37">
        <v>24317.63</v>
      </c>
      <c r="D37">
        <v>0</v>
      </c>
      <c r="E37" t="s">
        <v>407</v>
      </c>
    </row>
    <row r="38" spans="1:45">
      <c r="A38" s="295">
        <v>155</v>
      </c>
      <c r="B38" s="295" t="s">
        <v>421</v>
      </c>
      <c r="C38">
        <v>0</v>
      </c>
      <c r="D38">
        <v>0</v>
      </c>
      <c r="E38" t="s">
        <v>407</v>
      </c>
    </row>
    <row r="39" spans="1:45">
      <c r="A39" s="295">
        <v>160</v>
      </c>
      <c r="B39" s="295" t="s">
        <v>422</v>
      </c>
      <c r="C39">
        <v>122060.85</v>
      </c>
      <c r="D39">
        <v>0</v>
      </c>
      <c r="E39" t="s">
        <v>407</v>
      </c>
    </row>
    <row r="40" spans="1:45">
      <c r="A40" s="295">
        <v>170</v>
      </c>
      <c r="B40" s="295" t="s">
        <v>423</v>
      </c>
      <c r="C40">
        <v>135783.74</v>
      </c>
      <c r="D40">
        <v>0</v>
      </c>
      <c r="E40" t="s">
        <v>407</v>
      </c>
    </row>
    <row r="41" spans="1:45">
      <c r="A41" s="295">
        <v>180</v>
      </c>
      <c r="B41" s="295" t="s">
        <v>424</v>
      </c>
      <c r="C41">
        <v>134337</v>
      </c>
      <c r="D41">
        <v>0</v>
      </c>
      <c r="E41" t="s">
        <v>407</v>
      </c>
    </row>
    <row r="42" spans="1:45">
      <c r="A42" s="295">
        <v>190</v>
      </c>
      <c r="B42" s="295" t="s">
        <v>425</v>
      </c>
      <c r="C42">
        <v>0</v>
      </c>
      <c r="D42">
        <v>0</v>
      </c>
      <c r="E42" t="s">
        <v>407</v>
      </c>
    </row>
    <row r="43" spans="1:45">
      <c r="A43" s="295">
        <v>200</v>
      </c>
      <c r="B43" s="295" t="s">
        <v>426</v>
      </c>
      <c r="C43">
        <v>1446.74</v>
      </c>
      <c r="D43">
        <v>0</v>
      </c>
      <c r="E43" t="s">
        <v>407</v>
      </c>
    </row>
    <row r="44" spans="1:45">
      <c r="A44" s="295">
        <v>210</v>
      </c>
      <c r="B44" s="295" t="s">
        <v>427</v>
      </c>
      <c r="C44">
        <v>257844.59</v>
      </c>
      <c r="D44">
        <v>0</v>
      </c>
      <c r="E44" t="s">
        <v>407</v>
      </c>
    </row>
    <row r="45" spans="1:45">
      <c r="A45" s="295" t="s">
        <v>430</v>
      </c>
      <c r="B45" s="295" t="s">
        <v>402</v>
      </c>
      <c r="C45" t="s">
        <v>403</v>
      </c>
      <c r="D45" t="s">
        <v>431</v>
      </c>
      <c r="E45" t="s">
        <v>405</v>
      </c>
    </row>
    <row r="46" spans="1:45">
      <c r="A46" s="295">
        <v>30</v>
      </c>
      <c r="B46" s="295" t="s">
        <v>406</v>
      </c>
      <c r="C46">
        <v>26815360.94</v>
      </c>
      <c r="D46">
        <v>0</v>
      </c>
      <c r="E46" t="s">
        <v>407</v>
      </c>
    </row>
    <row r="47" spans="1:45">
      <c r="A47" s="295">
        <v>40</v>
      </c>
      <c r="B47" s="295" t="s">
        <v>408</v>
      </c>
      <c r="C47">
        <v>148562.08</v>
      </c>
      <c r="D47">
        <v>0</v>
      </c>
      <c r="E47" t="s">
        <v>407</v>
      </c>
    </row>
    <row r="48" spans="1:45">
      <c r="A48" s="295">
        <v>50</v>
      </c>
      <c r="B48" s="295" t="s">
        <v>409</v>
      </c>
      <c r="C48">
        <v>26666798.86</v>
      </c>
      <c r="D48">
        <v>0</v>
      </c>
      <c r="E48" t="s">
        <v>407</v>
      </c>
    </row>
    <row r="49" spans="1:45">
      <c r="A49" s="295">
        <v>60</v>
      </c>
      <c r="B49" s="295" t="s">
        <v>410</v>
      </c>
      <c r="C49">
        <v>21622563.18</v>
      </c>
      <c r="D49">
        <v>0</v>
      </c>
      <c r="E49" t="s">
        <v>407</v>
      </c>
    </row>
    <row r="50" spans="1:45">
      <c r="A50" s="295">
        <v>70</v>
      </c>
      <c r="B50" s="295" t="s">
        <v>411</v>
      </c>
      <c r="C50">
        <v>5044235.68</v>
      </c>
      <c r="D50">
        <v>0</v>
      </c>
      <c r="E50" t="s">
        <v>407</v>
      </c>
    </row>
    <row r="51" spans="1:45">
      <c r="A51" s="295">
        <v>80</v>
      </c>
      <c r="B51" s="295" t="s">
        <v>412</v>
      </c>
      <c r="C51">
        <v>2604393.71</v>
      </c>
      <c r="D51">
        <v>0</v>
      </c>
      <c r="E51" t="s">
        <v>407</v>
      </c>
    </row>
    <row r="52" spans="1:45">
      <c r="A52" s="295">
        <v>90</v>
      </c>
      <c r="B52" s="295" t="s">
        <v>413</v>
      </c>
      <c r="C52">
        <v>1063302.46</v>
      </c>
      <c r="D52">
        <v>0</v>
      </c>
      <c r="E52" t="s">
        <v>407</v>
      </c>
    </row>
    <row r="53" spans="1:45">
      <c r="A53" s="295">
        <v>100</v>
      </c>
      <c r="B53" s="295" t="s">
        <v>414</v>
      </c>
      <c r="C53">
        <v>110029.08</v>
      </c>
      <c r="D53">
        <v>0</v>
      </c>
      <c r="E53" t="s">
        <v>407</v>
      </c>
    </row>
    <row r="54" spans="1:45">
      <c r="A54" s="295">
        <v>110</v>
      </c>
      <c r="B54" s="295" t="s">
        <v>415</v>
      </c>
      <c r="C54">
        <v>3777725.25</v>
      </c>
      <c r="D54">
        <v>0</v>
      </c>
      <c r="E54" t="s">
        <v>407</v>
      </c>
    </row>
    <row r="55" spans="1:45">
      <c r="A55" s="295">
        <v>120</v>
      </c>
      <c r="B55" s="295" t="s">
        <v>416</v>
      </c>
      <c r="C55">
        <v>1266510.43</v>
      </c>
      <c r="D55">
        <v>0</v>
      </c>
      <c r="E55" t="s">
        <v>407</v>
      </c>
    </row>
    <row r="56" spans="1:45">
      <c r="A56" s="295">
        <v>130</v>
      </c>
      <c r="B56" s="295" t="s">
        <v>417</v>
      </c>
      <c r="C56">
        <v>12607.02</v>
      </c>
      <c r="D56">
        <v>0</v>
      </c>
      <c r="E56" t="s">
        <v>407</v>
      </c>
    </row>
    <row r="57" spans="1:45">
      <c r="A57" s="295">
        <v>135</v>
      </c>
      <c r="B57" s="295" t="s">
        <v>418</v>
      </c>
      <c r="C57">
        <v>0</v>
      </c>
      <c r="D57">
        <v>0</v>
      </c>
      <c r="E57" t="s">
        <v>407</v>
      </c>
    </row>
    <row r="58" spans="1:45">
      <c r="A58" s="295">
        <v>140</v>
      </c>
      <c r="B58" s="295" t="s">
        <v>419</v>
      </c>
      <c r="C58">
        <v>79403.46</v>
      </c>
      <c r="D58">
        <v>0</v>
      </c>
      <c r="E58" t="s">
        <v>407</v>
      </c>
    </row>
    <row r="59" spans="1:45">
      <c r="A59" s="295">
        <v>150</v>
      </c>
      <c r="B59" s="295" t="s">
        <v>420</v>
      </c>
      <c r="C59">
        <v>1360.15</v>
      </c>
      <c r="D59">
        <v>0</v>
      </c>
      <c r="E59" t="s">
        <v>407</v>
      </c>
    </row>
    <row r="60" spans="1:45">
      <c r="A60" s="295">
        <v>155</v>
      </c>
      <c r="B60" s="295" t="s">
        <v>421</v>
      </c>
      <c r="C60">
        <v>0</v>
      </c>
      <c r="D60">
        <v>0</v>
      </c>
      <c r="E60" t="s">
        <v>407</v>
      </c>
    </row>
    <row r="61" spans="1:45">
      <c r="A61" s="295">
        <v>160</v>
      </c>
      <c r="B61" s="295" t="s">
        <v>422</v>
      </c>
      <c r="C61">
        <v>90650.33</v>
      </c>
      <c r="D61">
        <v>0</v>
      </c>
      <c r="E61" t="s">
        <v>407</v>
      </c>
    </row>
    <row r="62" spans="1:45">
      <c r="A62" s="295">
        <v>170</v>
      </c>
      <c r="B62" s="295" t="s">
        <v>423</v>
      </c>
      <c r="C62">
        <v>1175860.1</v>
      </c>
      <c r="D62">
        <v>0</v>
      </c>
      <c r="E62" t="s">
        <v>407</v>
      </c>
    </row>
    <row r="63" spans="1:45">
      <c r="A63" s="295">
        <v>180</v>
      </c>
      <c r="B63" s="295" t="s">
        <v>424</v>
      </c>
      <c r="C63">
        <v>388000</v>
      </c>
      <c r="D63">
        <v>0</v>
      </c>
      <c r="E63" t="s">
        <v>407</v>
      </c>
    </row>
    <row r="64" spans="1:45">
      <c r="A64" s="295">
        <v>190</v>
      </c>
      <c r="B64" s="295" t="s">
        <v>425</v>
      </c>
      <c r="C64">
        <v>0</v>
      </c>
      <c r="D64">
        <v>0</v>
      </c>
      <c r="E64" t="s">
        <v>407</v>
      </c>
    </row>
    <row r="65" spans="1:45">
      <c r="A65" s="295">
        <v>200</v>
      </c>
      <c r="B65" s="295" t="s">
        <v>426</v>
      </c>
      <c r="C65">
        <v>787860.1</v>
      </c>
      <c r="D65">
        <v>0</v>
      </c>
      <c r="E65" t="s">
        <v>407</v>
      </c>
    </row>
    <row r="66" spans="1:45">
      <c r="A66" s="295">
        <v>210</v>
      </c>
      <c r="B66" s="295" t="s">
        <v>427</v>
      </c>
      <c r="C66">
        <v>1376539.51</v>
      </c>
      <c r="D66">
        <v>0</v>
      </c>
      <c r="E66" t="s">
        <v>407</v>
      </c>
    </row>
    <row r="67" spans="1:45">
      <c r="A67" s="295" t="s">
        <v>432</v>
      </c>
      <c r="B67" s="295" t="s">
        <v>402</v>
      </c>
      <c r="C67" t="s">
        <v>433</v>
      </c>
      <c r="D67" t="s">
        <v>434</v>
      </c>
      <c r="E67" t="s">
        <v>405</v>
      </c>
    </row>
    <row r="68" spans="1:45">
      <c r="A68" s="295">
        <v>30</v>
      </c>
      <c r="B68" s="295" t="s">
        <v>406</v>
      </c>
      <c r="C68">
        <v>3298210</v>
      </c>
      <c r="D68">
        <v>0</v>
      </c>
      <c r="E68" t="s">
        <v>407</v>
      </c>
    </row>
    <row r="69" spans="1:45">
      <c r="A69" s="295">
        <v>40</v>
      </c>
      <c r="B69" s="295" t="s">
        <v>408</v>
      </c>
      <c r="C69">
        <v>0</v>
      </c>
      <c r="D69">
        <v>0</v>
      </c>
      <c r="E69" t="s">
        <v>407</v>
      </c>
    </row>
    <row r="70" spans="1:45">
      <c r="A70" s="295">
        <v>50</v>
      </c>
      <c r="B70" s="295" t="s">
        <v>409</v>
      </c>
      <c r="C70">
        <v>3298210</v>
      </c>
      <c r="D70">
        <v>0</v>
      </c>
      <c r="E70" t="s">
        <v>407</v>
      </c>
    </row>
    <row r="71" spans="1:45">
      <c r="A71" s="295">
        <v>60</v>
      </c>
      <c r="B71" s="295" t="s">
        <v>410</v>
      </c>
      <c r="C71">
        <v>0</v>
      </c>
      <c r="D71">
        <v>0</v>
      </c>
      <c r="E71" t="s">
        <v>407</v>
      </c>
    </row>
    <row r="72" spans="1:45">
      <c r="A72" s="295">
        <v>70</v>
      </c>
      <c r="B72" s="295" t="s">
        <v>411</v>
      </c>
      <c r="C72">
        <v>3298210</v>
      </c>
      <c r="D72">
        <v>0</v>
      </c>
      <c r="E72" t="s">
        <v>407</v>
      </c>
    </row>
    <row r="73" spans="1:45">
      <c r="A73" s="295">
        <v>80</v>
      </c>
      <c r="B73" s="295" t="s">
        <v>412</v>
      </c>
      <c r="C73">
        <v>0</v>
      </c>
      <c r="D73">
        <v>0</v>
      </c>
      <c r="E73" t="s">
        <v>407</v>
      </c>
    </row>
    <row r="74" spans="1:45">
      <c r="A74" s="295">
        <v>90</v>
      </c>
      <c r="B74" s="295" t="s">
        <v>413</v>
      </c>
      <c r="C74">
        <v>3030640.49</v>
      </c>
      <c r="D74">
        <v>0</v>
      </c>
      <c r="E74" t="s">
        <v>407</v>
      </c>
    </row>
    <row r="75" spans="1:45">
      <c r="A75" s="295">
        <v>100</v>
      </c>
      <c r="B75" s="295" t="s">
        <v>414</v>
      </c>
      <c r="C75">
        <v>45176.32</v>
      </c>
      <c r="D75">
        <v>0</v>
      </c>
      <c r="E75" t="s">
        <v>407</v>
      </c>
    </row>
    <row r="76" spans="1:45">
      <c r="A76" s="295">
        <v>110</v>
      </c>
      <c r="B76" s="295" t="s">
        <v>415</v>
      </c>
      <c r="C76">
        <v>3075816.81</v>
      </c>
      <c r="D76">
        <v>0</v>
      </c>
      <c r="E76" t="s">
        <v>407</v>
      </c>
    </row>
    <row r="77" spans="1:45">
      <c r="A77" s="295">
        <v>120</v>
      </c>
      <c r="B77" s="295" t="s">
        <v>416</v>
      </c>
      <c r="C77">
        <v>222393.19</v>
      </c>
      <c r="D77">
        <v>0</v>
      </c>
      <c r="E77" t="s">
        <v>407</v>
      </c>
    </row>
    <row r="78" spans="1:45">
      <c r="A78" s="295">
        <v>130</v>
      </c>
      <c r="B78" s="295" t="s">
        <v>417</v>
      </c>
      <c r="C78">
        <v>613.47</v>
      </c>
      <c r="D78">
        <v>0</v>
      </c>
      <c r="E78" t="s">
        <v>407</v>
      </c>
    </row>
    <row r="79" spans="1:45">
      <c r="A79" s="295">
        <v>135</v>
      </c>
      <c r="B79" s="295" t="s">
        <v>418</v>
      </c>
      <c r="C79">
        <v>-70600.69</v>
      </c>
      <c r="D79">
        <v>0</v>
      </c>
      <c r="E79" t="s">
        <v>407</v>
      </c>
    </row>
    <row r="80" spans="1:45">
      <c r="A80" s="295">
        <v>140</v>
      </c>
      <c r="B80" s="295" t="s">
        <v>419</v>
      </c>
      <c r="C80">
        <v>6066.33</v>
      </c>
      <c r="D80">
        <v>0</v>
      </c>
      <c r="E80" t="s">
        <v>407</v>
      </c>
    </row>
    <row r="81" spans="1:45">
      <c r="A81" s="295">
        <v>150</v>
      </c>
      <c r="B81" s="295" t="s">
        <v>420</v>
      </c>
      <c r="C81">
        <v>0</v>
      </c>
      <c r="D81">
        <v>0</v>
      </c>
      <c r="E81" t="s">
        <v>407</v>
      </c>
    </row>
    <row r="82" spans="1:45">
      <c r="A82" s="295">
        <v>155</v>
      </c>
      <c r="B82" s="295" t="s">
        <v>421</v>
      </c>
      <c r="C82">
        <v>0</v>
      </c>
      <c r="D82">
        <v>0</v>
      </c>
      <c r="E82" t="s">
        <v>407</v>
      </c>
    </row>
    <row r="83" spans="1:45">
      <c r="A83" s="295">
        <v>160</v>
      </c>
      <c r="B83" s="295" t="s">
        <v>422</v>
      </c>
      <c r="C83">
        <v>-63920.89</v>
      </c>
      <c r="D83">
        <v>0</v>
      </c>
      <c r="E83" t="s">
        <v>407</v>
      </c>
    </row>
    <row r="84" spans="1:45">
      <c r="A84" s="295">
        <v>170</v>
      </c>
      <c r="B84" s="295" t="s">
        <v>423</v>
      </c>
      <c r="C84">
        <v>286314.08</v>
      </c>
      <c r="D84">
        <v>0</v>
      </c>
      <c r="E84" t="s">
        <v>407</v>
      </c>
    </row>
    <row r="85" spans="1:45">
      <c r="A85" s="295">
        <v>180</v>
      </c>
      <c r="B85" s="295" t="s">
        <v>424</v>
      </c>
      <c r="C85">
        <v>72931</v>
      </c>
      <c r="D85">
        <v>0</v>
      </c>
      <c r="E85" t="s">
        <v>407</v>
      </c>
    </row>
    <row r="86" spans="1:45">
      <c r="A86" s="295">
        <v>190</v>
      </c>
      <c r="B86" s="295" t="s">
        <v>425</v>
      </c>
      <c r="C86">
        <v>0</v>
      </c>
      <c r="D86">
        <v>0</v>
      </c>
      <c r="E86" t="s">
        <v>407</v>
      </c>
    </row>
    <row r="87" spans="1:45">
      <c r="A87" s="295">
        <v>200</v>
      </c>
      <c r="B87" s="295" t="s">
        <v>426</v>
      </c>
      <c r="C87">
        <v>213383.08</v>
      </c>
      <c r="D87">
        <v>0</v>
      </c>
      <c r="E87" t="s">
        <v>407</v>
      </c>
    </row>
    <row r="88" spans="1:45">
      <c r="A88" s="295">
        <v>210</v>
      </c>
      <c r="B88" s="295" t="s">
        <v>427</v>
      </c>
      <c r="C88">
        <v>267569.51</v>
      </c>
      <c r="D88">
        <v>0</v>
      </c>
      <c r="E88" t="s">
        <v>407</v>
      </c>
    </row>
    <row r="89" spans="1:45">
      <c r="A89" s="295" t="s">
        <v>435</v>
      </c>
      <c r="B89" s="295" t="s">
        <v>402</v>
      </c>
      <c r="C89" t="s">
        <v>403</v>
      </c>
      <c r="D89" t="s">
        <v>404</v>
      </c>
      <c r="E89" t="s">
        <v>405</v>
      </c>
    </row>
    <row r="90" spans="1:45">
      <c r="A90" s="295">
        <v>30</v>
      </c>
      <c r="B90" s="295" t="s">
        <v>406</v>
      </c>
      <c r="C90">
        <v>428610.85</v>
      </c>
      <c r="D90">
        <v>0</v>
      </c>
      <c r="E90" t="s">
        <v>407</v>
      </c>
    </row>
    <row r="91" spans="1:45">
      <c r="A91" s="295">
        <v>40</v>
      </c>
      <c r="B91" s="295" t="s">
        <v>408</v>
      </c>
      <c r="C91">
        <v>0</v>
      </c>
      <c r="D91">
        <v>0</v>
      </c>
      <c r="E91" t="s">
        <v>407</v>
      </c>
    </row>
    <row r="92" spans="1:45">
      <c r="A92" s="295">
        <v>50</v>
      </c>
      <c r="B92" s="295" t="s">
        <v>409</v>
      </c>
      <c r="C92">
        <v>428610.85</v>
      </c>
      <c r="D92">
        <v>0</v>
      </c>
      <c r="E92" t="s">
        <v>407</v>
      </c>
    </row>
    <row r="93" spans="1:45">
      <c r="A93" s="295">
        <v>60</v>
      </c>
      <c r="B93" s="295" t="s">
        <v>410</v>
      </c>
      <c r="C93">
        <v>272752.44</v>
      </c>
      <c r="D93">
        <v>0</v>
      </c>
      <c r="E93" t="s">
        <v>407</v>
      </c>
    </row>
    <row r="94" spans="1:45">
      <c r="A94" s="295">
        <v>70</v>
      </c>
      <c r="B94" s="295" t="s">
        <v>411</v>
      </c>
      <c r="C94">
        <v>155858.41</v>
      </c>
      <c r="D94">
        <v>0</v>
      </c>
      <c r="E94" t="s">
        <v>407</v>
      </c>
    </row>
    <row r="95" spans="1:45">
      <c r="A95" s="295">
        <v>80</v>
      </c>
      <c r="B95" s="295" t="s">
        <v>412</v>
      </c>
      <c r="C95">
        <v>0</v>
      </c>
      <c r="D95">
        <v>0</v>
      </c>
      <c r="E95" t="s">
        <v>407</v>
      </c>
    </row>
    <row r="96" spans="1:45">
      <c r="A96" s="295">
        <v>90</v>
      </c>
      <c r="B96" s="295" t="s">
        <v>413</v>
      </c>
      <c r="C96">
        <v>219513.07</v>
      </c>
      <c r="D96">
        <v>0</v>
      </c>
      <c r="E96" t="s">
        <v>407</v>
      </c>
    </row>
    <row r="97" spans="1:45">
      <c r="A97" s="295">
        <v>100</v>
      </c>
      <c r="B97" s="295" t="s">
        <v>414</v>
      </c>
      <c r="C97">
        <v>441.15</v>
      </c>
      <c r="D97">
        <v>0</v>
      </c>
      <c r="E97" t="s">
        <v>407</v>
      </c>
    </row>
    <row r="98" spans="1:45">
      <c r="A98" s="295">
        <v>110</v>
      </c>
      <c r="B98" s="295" t="s">
        <v>415</v>
      </c>
      <c r="C98">
        <v>219954.22</v>
      </c>
      <c r="D98">
        <v>0</v>
      </c>
      <c r="E98" t="s">
        <v>407</v>
      </c>
    </row>
    <row r="99" spans="1:45">
      <c r="A99" s="295">
        <v>120</v>
      </c>
      <c r="B99" s="295" t="s">
        <v>416</v>
      </c>
      <c r="C99">
        <v>-64095.81</v>
      </c>
      <c r="D99">
        <v>0</v>
      </c>
      <c r="E99" t="s">
        <v>407</v>
      </c>
    </row>
    <row r="100" spans="1:45">
      <c r="A100" s="295">
        <v>130</v>
      </c>
      <c r="B100" s="295" t="s">
        <v>417</v>
      </c>
      <c r="C100">
        <v>-460.05</v>
      </c>
      <c r="D100">
        <v>0</v>
      </c>
      <c r="E100" t="s">
        <v>407</v>
      </c>
    </row>
    <row r="101" spans="1:45">
      <c r="A101" s="295">
        <v>135</v>
      </c>
      <c r="B101" s="295" t="s">
        <v>418</v>
      </c>
      <c r="C101">
        <v>-4.03</v>
      </c>
      <c r="D101">
        <v>0</v>
      </c>
      <c r="E101" t="s">
        <v>407</v>
      </c>
    </row>
    <row r="102" spans="1:45">
      <c r="A102" s="295">
        <v>140</v>
      </c>
      <c r="B102" s="295" t="s">
        <v>419</v>
      </c>
      <c r="C102">
        <v>908.77</v>
      </c>
      <c r="D102">
        <v>0</v>
      </c>
      <c r="E102" t="s">
        <v>407</v>
      </c>
    </row>
    <row r="103" spans="1:45">
      <c r="A103" s="295">
        <v>150</v>
      </c>
      <c r="B103" s="295" t="s">
        <v>420</v>
      </c>
      <c r="C103">
        <v>0</v>
      </c>
      <c r="D103">
        <v>0</v>
      </c>
      <c r="E103" t="s">
        <v>407</v>
      </c>
    </row>
    <row r="104" spans="1:45">
      <c r="A104" s="295">
        <v>155</v>
      </c>
      <c r="B104" s="295" t="s">
        <v>421</v>
      </c>
      <c r="C104">
        <v>0</v>
      </c>
      <c r="D104">
        <v>0</v>
      </c>
      <c r="E104" t="s">
        <v>407</v>
      </c>
    </row>
    <row r="105" spans="1:45">
      <c r="A105" s="295">
        <v>160</v>
      </c>
      <c r="B105" s="295" t="s">
        <v>422</v>
      </c>
      <c r="C105">
        <v>444.69</v>
      </c>
      <c r="D105">
        <v>0</v>
      </c>
      <c r="E105" t="s">
        <v>407</v>
      </c>
    </row>
    <row r="106" spans="1:45">
      <c r="A106" s="295">
        <v>170</v>
      </c>
      <c r="B106" s="295" t="s">
        <v>423</v>
      </c>
      <c r="C106">
        <v>-64540.5</v>
      </c>
      <c r="D106">
        <v>0</v>
      </c>
      <c r="E106" t="s">
        <v>407</v>
      </c>
    </row>
    <row r="107" spans="1:45">
      <c r="A107" s="295">
        <v>180</v>
      </c>
      <c r="B107" s="295" t="s">
        <v>424</v>
      </c>
      <c r="C107">
        <v>6146</v>
      </c>
      <c r="D107">
        <v>0</v>
      </c>
      <c r="E107" t="s">
        <v>407</v>
      </c>
    </row>
    <row r="108" spans="1:45">
      <c r="A108" s="295">
        <v>190</v>
      </c>
      <c r="B108" s="295" t="s">
        <v>425</v>
      </c>
      <c r="C108">
        <v>0</v>
      </c>
      <c r="D108">
        <v>0</v>
      </c>
      <c r="E108" t="s">
        <v>407</v>
      </c>
    </row>
    <row r="109" spans="1:45">
      <c r="A109" s="295">
        <v>200</v>
      </c>
      <c r="B109" s="295" t="s">
        <v>426</v>
      </c>
      <c r="C109">
        <v>-70686.5</v>
      </c>
      <c r="D109">
        <v>0</v>
      </c>
      <c r="E109" t="s">
        <v>407</v>
      </c>
    </row>
    <row r="110" spans="1:45">
      <c r="A110" s="295">
        <v>210</v>
      </c>
      <c r="B110" s="295" t="s">
        <v>427</v>
      </c>
      <c r="C110">
        <v>-63654.66</v>
      </c>
      <c r="D110">
        <v>0</v>
      </c>
      <c r="E110" t="s">
        <v>407</v>
      </c>
    </row>
    <row r="111" spans="1:45">
      <c r="A111" s="295" t="s">
        <v>436</v>
      </c>
      <c r="B111" s="295" t="s">
        <v>402</v>
      </c>
      <c r="C111" t="s">
        <v>403</v>
      </c>
      <c r="D111" t="s">
        <v>437</v>
      </c>
      <c r="E111" t="s">
        <v>405</v>
      </c>
    </row>
    <row r="112" spans="1:45">
      <c r="A112" s="295">
        <v>30</v>
      </c>
      <c r="B112" s="295" t="s">
        <v>406</v>
      </c>
      <c r="C112">
        <v>254662</v>
      </c>
      <c r="D112">
        <v>0</v>
      </c>
      <c r="E112" t="s">
        <v>407</v>
      </c>
    </row>
    <row r="113" spans="1:45">
      <c r="A113" s="295">
        <v>40</v>
      </c>
      <c r="B113" s="295" t="s">
        <v>408</v>
      </c>
      <c r="C113">
        <v>0</v>
      </c>
      <c r="D113">
        <v>0</v>
      </c>
      <c r="E113" t="s">
        <v>407</v>
      </c>
    </row>
    <row r="114" spans="1:45">
      <c r="A114" s="295">
        <v>50</v>
      </c>
      <c r="B114" s="295" t="s">
        <v>409</v>
      </c>
      <c r="C114">
        <v>254662</v>
      </c>
      <c r="D114">
        <v>0</v>
      </c>
      <c r="E114" t="s">
        <v>407</v>
      </c>
    </row>
    <row r="115" spans="1:45">
      <c r="A115" s="295">
        <v>60</v>
      </c>
      <c r="B115" s="295" t="s">
        <v>410</v>
      </c>
      <c r="C115">
        <v>0</v>
      </c>
      <c r="D115">
        <v>0</v>
      </c>
      <c r="E115" t="s">
        <v>407</v>
      </c>
    </row>
    <row r="116" spans="1:45">
      <c r="A116" s="295">
        <v>70</v>
      </c>
      <c r="B116" s="295" t="s">
        <v>411</v>
      </c>
      <c r="C116">
        <v>254662</v>
      </c>
      <c r="D116">
        <v>0</v>
      </c>
      <c r="E116" t="s">
        <v>407</v>
      </c>
    </row>
    <row r="117" spans="1:45">
      <c r="A117" s="295">
        <v>80</v>
      </c>
      <c r="B117" s="295" t="s">
        <v>412</v>
      </c>
      <c r="C117">
        <v>0</v>
      </c>
      <c r="D117">
        <v>0</v>
      </c>
      <c r="E117" t="s">
        <v>407</v>
      </c>
    </row>
    <row r="118" spans="1:45">
      <c r="A118" s="295">
        <v>90</v>
      </c>
      <c r="B118" s="295" t="s">
        <v>413</v>
      </c>
      <c r="C118">
        <v>168345.38</v>
      </c>
      <c r="D118">
        <v>0</v>
      </c>
      <c r="E118" t="s">
        <v>407</v>
      </c>
    </row>
    <row r="119" spans="1:45">
      <c r="A119" s="295">
        <v>100</v>
      </c>
      <c r="B119" s="295" t="s">
        <v>414</v>
      </c>
      <c r="C119">
        <v>38163.12</v>
      </c>
      <c r="D119">
        <v>0</v>
      </c>
      <c r="E119" t="s">
        <v>407</v>
      </c>
    </row>
    <row r="120" spans="1:45">
      <c r="A120" s="295">
        <v>110</v>
      </c>
      <c r="B120" s="295" t="s">
        <v>415</v>
      </c>
      <c r="C120">
        <v>206508.5</v>
      </c>
      <c r="D120">
        <v>0</v>
      </c>
      <c r="E120" t="s">
        <v>407</v>
      </c>
    </row>
    <row r="121" spans="1:45">
      <c r="A121" s="295">
        <v>120</v>
      </c>
      <c r="B121" s="295" t="s">
        <v>416</v>
      </c>
      <c r="C121">
        <v>48153.5</v>
      </c>
      <c r="D121">
        <v>0</v>
      </c>
      <c r="E121" t="s">
        <v>407</v>
      </c>
    </row>
    <row r="122" spans="1:45">
      <c r="A122" s="295">
        <v>130</v>
      </c>
      <c r="B122" s="295" t="s">
        <v>417</v>
      </c>
      <c r="C122">
        <v>-1045.61</v>
      </c>
      <c r="D122">
        <v>0</v>
      </c>
      <c r="E122" t="s">
        <v>407</v>
      </c>
    </row>
    <row r="123" spans="1:45">
      <c r="A123" s="295">
        <v>135</v>
      </c>
      <c r="B123" s="295" t="s">
        <v>418</v>
      </c>
      <c r="C123">
        <v>0</v>
      </c>
      <c r="D123">
        <v>0</v>
      </c>
      <c r="E123" t="s">
        <v>407</v>
      </c>
    </row>
    <row r="124" spans="1:45">
      <c r="A124" s="295">
        <v>140</v>
      </c>
      <c r="B124" s="295" t="s">
        <v>419</v>
      </c>
      <c r="C124">
        <v>1534.25</v>
      </c>
      <c r="D124">
        <v>0</v>
      </c>
      <c r="E124" t="s">
        <v>407</v>
      </c>
    </row>
    <row r="125" spans="1:45">
      <c r="A125" s="295">
        <v>150</v>
      </c>
      <c r="B125" s="295" t="s">
        <v>420</v>
      </c>
      <c r="C125">
        <v>0.03</v>
      </c>
      <c r="D125">
        <v>0</v>
      </c>
      <c r="E125" t="s">
        <v>407</v>
      </c>
    </row>
    <row r="126" spans="1:45">
      <c r="A126" s="295">
        <v>155</v>
      </c>
      <c r="B126" s="295" t="s">
        <v>421</v>
      </c>
      <c r="C126">
        <v>0</v>
      </c>
      <c r="D126">
        <v>0</v>
      </c>
      <c r="E126" t="s">
        <v>407</v>
      </c>
    </row>
    <row r="127" spans="1:45">
      <c r="A127" s="295">
        <v>160</v>
      </c>
      <c r="B127" s="295" t="s">
        <v>422</v>
      </c>
      <c r="C127">
        <v>488.61</v>
      </c>
      <c r="D127">
        <v>0</v>
      </c>
      <c r="E127" t="s">
        <v>407</v>
      </c>
    </row>
    <row r="128" spans="1:45">
      <c r="A128" s="295">
        <v>170</v>
      </c>
      <c r="B128" s="295" t="s">
        <v>423</v>
      </c>
      <c r="C128">
        <v>47664.89</v>
      </c>
      <c r="D128">
        <v>0</v>
      </c>
      <c r="E128" t="s">
        <v>407</v>
      </c>
    </row>
    <row r="129" spans="1:45">
      <c r="A129" s="295">
        <v>180</v>
      </c>
      <c r="B129" s="295" t="s">
        <v>424</v>
      </c>
      <c r="C129">
        <v>30776</v>
      </c>
      <c r="D129">
        <v>0</v>
      </c>
      <c r="E129" t="s">
        <v>407</v>
      </c>
    </row>
    <row r="130" spans="1:45">
      <c r="A130" s="295">
        <v>190</v>
      </c>
      <c r="B130" s="295" t="s">
        <v>425</v>
      </c>
      <c r="C130">
        <v>0</v>
      </c>
      <c r="D130">
        <v>0</v>
      </c>
      <c r="E130" t="s">
        <v>407</v>
      </c>
    </row>
    <row r="131" spans="1:45">
      <c r="A131" s="295">
        <v>200</v>
      </c>
      <c r="B131" s="295" t="s">
        <v>426</v>
      </c>
      <c r="C131">
        <v>16888.89</v>
      </c>
      <c r="D131">
        <v>0</v>
      </c>
      <c r="E131" t="s">
        <v>407</v>
      </c>
    </row>
    <row r="132" spans="1:45">
      <c r="A132" s="295">
        <v>210</v>
      </c>
      <c r="B132" s="295" t="s">
        <v>427</v>
      </c>
      <c r="C132">
        <v>86316.62</v>
      </c>
      <c r="D132">
        <v>0</v>
      </c>
      <c r="E132" t="s">
        <v>407</v>
      </c>
    </row>
    <row r="133" spans="1:45">
      <c r="A133" s="295" t="s">
        <v>438</v>
      </c>
      <c r="B133" s="295" t="s">
        <v>402</v>
      </c>
      <c r="C133" t="s">
        <v>403</v>
      </c>
      <c r="D133" t="s">
        <v>439</v>
      </c>
      <c r="E133" t="s">
        <v>405</v>
      </c>
    </row>
    <row r="134" spans="1:45">
      <c r="A134" s="295">
        <v>30</v>
      </c>
      <c r="B134" s="295" t="s">
        <v>406</v>
      </c>
      <c r="C134">
        <v>76482.81</v>
      </c>
      <c r="D134">
        <v>0</v>
      </c>
      <c r="E134" t="s">
        <v>407</v>
      </c>
    </row>
    <row r="135" spans="1:45">
      <c r="A135" s="295">
        <v>40</v>
      </c>
      <c r="B135" s="295" t="s">
        <v>408</v>
      </c>
      <c r="C135">
        <v>0</v>
      </c>
      <c r="D135">
        <v>0</v>
      </c>
      <c r="E135" t="s">
        <v>407</v>
      </c>
    </row>
    <row r="136" spans="1:45">
      <c r="A136" s="295">
        <v>50</v>
      </c>
      <c r="B136" s="295" t="s">
        <v>409</v>
      </c>
      <c r="C136">
        <v>76482.81</v>
      </c>
      <c r="D136">
        <v>0</v>
      </c>
      <c r="E136" t="s">
        <v>407</v>
      </c>
    </row>
    <row r="137" spans="1:45">
      <c r="A137" s="295">
        <v>60</v>
      </c>
      <c r="B137" s="295" t="s">
        <v>410</v>
      </c>
      <c r="C137">
        <v>56831.2</v>
      </c>
      <c r="D137">
        <v>0</v>
      </c>
      <c r="E137" t="s">
        <v>407</v>
      </c>
    </row>
    <row r="138" spans="1:45">
      <c r="A138" s="295">
        <v>70</v>
      </c>
      <c r="B138" s="295" t="s">
        <v>411</v>
      </c>
      <c r="C138">
        <v>19651.61</v>
      </c>
      <c r="D138">
        <v>0</v>
      </c>
      <c r="E138" t="s">
        <v>407</v>
      </c>
    </row>
    <row r="139" spans="1:45">
      <c r="A139" s="295">
        <v>80</v>
      </c>
      <c r="B139" s="295" t="s">
        <v>412</v>
      </c>
      <c r="C139">
        <v>44454.3</v>
      </c>
      <c r="D139">
        <v>0</v>
      </c>
      <c r="E139" t="s">
        <v>407</v>
      </c>
    </row>
    <row r="140" spans="1:45">
      <c r="A140" s="295">
        <v>90</v>
      </c>
      <c r="B140" s="295" t="s">
        <v>413</v>
      </c>
      <c r="C140">
        <v>89480.42</v>
      </c>
      <c r="D140">
        <v>0</v>
      </c>
      <c r="E140" t="s">
        <v>407</v>
      </c>
    </row>
    <row r="141" spans="1:45">
      <c r="A141" s="295">
        <v>100</v>
      </c>
      <c r="B141" s="295" t="s">
        <v>414</v>
      </c>
      <c r="C141">
        <v>29133.18</v>
      </c>
      <c r="D141">
        <v>0</v>
      </c>
      <c r="E141" t="s">
        <v>407</v>
      </c>
    </row>
    <row r="142" spans="1:45">
      <c r="A142" s="295">
        <v>110</v>
      </c>
      <c r="B142" s="295" t="s">
        <v>415</v>
      </c>
      <c r="C142">
        <v>163067.9</v>
      </c>
      <c r="D142">
        <v>0</v>
      </c>
      <c r="E142" t="s">
        <v>407</v>
      </c>
    </row>
    <row r="143" spans="1:45">
      <c r="A143" s="295">
        <v>120</v>
      </c>
      <c r="B143" s="295" t="s">
        <v>416</v>
      </c>
      <c r="C143">
        <v>-143416.29</v>
      </c>
      <c r="D143">
        <v>0</v>
      </c>
      <c r="E143" t="s">
        <v>407</v>
      </c>
    </row>
    <row r="144" spans="1:45">
      <c r="A144" s="295">
        <v>130</v>
      </c>
      <c r="B144" s="295" t="s">
        <v>417</v>
      </c>
      <c r="C144">
        <v>0</v>
      </c>
      <c r="D144">
        <v>0</v>
      </c>
      <c r="E144" t="s">
        <v>407</v>
      </c>
    </row>
    <row r="145" spans="1:45">
      <c r="A145" s="295">
        <v>135</v>
      </c>
      <c r="B145" s="295" t="s">
        <v>418</v>
      </c>
      <c r="C145">
        <v>-34419.91</v>
      </c>
      <c r="D145">
        <v>0</v>
      </c>
      <c r="E145" t="s">
        <v>407</v>
      </c>
    </row>
    <row r="146" spans="1:45">
      <c r="A146" s="295">
        <v>140</v>
      </c>
      <c r="B146" s="295" t="s">
        <v>419</v>
      </c>
      <c r="C146">
        <v>0</v>
      </c>
      <c r="D146">
        <v>0</v>
      </c>
      <c r="E146" t="s">
        <v>407</v>
      </c>
    </row>
    <row r="147" spans="1:45">
      <c r="A147" s="295">
        <v>150</v>
      </c>
      <c r="B147" s="295" t="s">
        <v>420</v>
      </c>
      <c r="C147">
        <v>0.41</v>
      </c>
      <c r="D147">
        <v>0</v>
      </c>
      <c r="E147" t="s">
        <v>407</v>
      </c>
    </row>
    <row r="148" spans="1:45">
      <c r="A148" s="295">
        <v>155</v>
      </c>
      <c r="B148" s="295" t="s">
        <v>421</v>
      </c>
      <c r="C148">
        <v>0</v>
      </c>
      <c r="D148">
        <v>0</v>
      </c>
      <c r="E148" t="s">
        <v>407</v>
      </c>
    </row>
    <row r="149" spans="1:45">
      <c r="A149" s="295">
        <v>160</v>
      </c>
      <c r="B149" s="295" t="s">
        <v>422</v>
      </c>
      <c r="C149">
        <v>-34420.32</v>
      </c>
      <c r="D149">
        <v>0</v>
      </c>
      <c r="E149" t="s">
        <v>407</v>
      </c>
    </row>
    <row r="150" spans="1:45">
      <c r="A150" s="295">
        <v>170</v>
      </c>
      <c r="B150" s="295" t="s">
        <v>423</v>
      </c>
      <c r="C150">
        <v>-108995.97</v>
      </c>
      <c r="D150">
        <v>0</v>
      </c>
      <c r="E150" t="s">
        <v>407</v>
      </c>
    </row>
    <row r="151" spans="1:45">
      <c r="A151" s="295">
        <v>180</v>
      </c>
      <c r="B151" s="295" t="s">
        <v>424</v>
      </c>
      <c r="C151">
        <v>0</v>
      </c>
      <c r="D151">
        <v>0</v>
      </c>
      <c r="E151" t="s">
        <v>407</v>
      </c>
    </row>
    <row r="152" spans="1:45">
      <c r="A152" s="295">
        <v>190</v>
      </c>
      <c r="B152" s="295" t="s">
        <v>425</v>
      </c>
      <c r="C152">
        <v>0</v>
      </c>
      <c r="D152">
        <v>0</v>
      </c>
      <c r="E152" t="s">
        <v>407</v>
      </c>
    </row>
    <row r="153" spans="1:45">
      <c r="A153" s="295">
        <v>200</v>
      </c>
      <c r="B153" s="295" t="s">
        <v>426</v>
      </c>
      <c r="C153">
        <v>-108995.97</v>
      </c>
      <c r="D153">
        <v>0</v>
      </c>
      <c r="E153" t="s">
        <v>407</v>
      </c>
    </row>
    <row r="154" spans="1:45">
      <c r="A154" s="295">
        <v>210</v>
      </c>
      <c r="B154" s="295" t="s">
        <v>427</v>
      </c>
      <c r="C154">
        <v>-114283.11</v>
      </c>
      <c r="D154">
        <v>0</v>
      </c>
      <c r="E154" t="s">
        <v>407</v>
      </c>
    </row>
    <row r="155" spans="1:45">
      <c r="A155" s="295" t="s">
        <v>440</v>
      </c>
      <c r="B155" s="295" t="s">
        <v>402</v>
      </c>
      <c r="C155" t="s">
        <v>403</v>
      </c>
      <c r="D155" t="s">
        <v>439</v>
      </c>
      <c r="E155" t="s">
        <v>405</v>
      </c>
    </row>
    <row r="156" spans="1:45">
      <c r="A156" s="295">
        <v>30</v>
      </c>
      <c r="B156" s="295" t="s">
        <v>406</v>
      </c>
      <c r="C156">
        <v>132213.26</v>
      </c>
      <c r="D156">
        <v>0</v>
      </c>
      <c r="E156" t="s">
        <v>407</v>
      </c>
    </row>
    <row r="157" spans="1:45">
      <c r="A157" s="295">
        <v>40</v>
      </c>
      <c r="B157" s="295" t="s">
        <v>408</v>
      </c>
      <c r="C157">
        <v>0</v>
      </c>
      <c r="D157">
        <v>0</v>
      </c>
      <c r="E157" t="s">
        <v>407</v>
      </c>
    </row>
    <row r="158" spans="1:45">
      <c r="A158" s="295">
        <v>50</v>
      </c>
      <c r="B158" s="295" t="s">
        <v>409</v>
      </c>
      <c r="C158">
        <v>132213.26</v>
      </c>
      <c r="D158">
        <v>0</v>
      </c>
      <c r="E158" t="s">
        <v>407</v>
      </c>
    </row>
    <row r="159" spans="1:45">
      <c r="A159" s="295">
        <v>60</v>
      </c>
      <c r="B159" s="295" t="s">
        <v>410</v>
      </c>
      <c r="C159">
        <v>251094.73</v>
      </c>
      <c r="D159">
        <v>0</v>
      </c>
      <c r="E159" t="s">
        <v>407</v>
      </c>
    </row>
    <row r="160" spans="1:45">
      <c r="A160" s="295">
        <v>70</v>
      </c>
      <c r="B160" s="295" t="s">
        <v>411</v>
      </c>
      <c r="C160">
        <v>-118881.47</v>
      </c>
      <c r="D160">
        <v>0</v>
      </c>
      <c r="E160" t="s">
        <v>407</v>
      </c>
    </row>
    <row r="161" spans="1:45">
      <c r="A161" s="295">
        <v>80</v>
      </c>
      <c r="B161" s="295" t="s">
        <v>412</v>
      </c>
      <c r="C161">
        <v>10089.27</v>
      </c>
      <c r="D161">
        <v>0</v>
      </c>
      <c r="E161" t="s">
        <v>407</v>
      </c>
    </row>
    <row r="162" spans="1:45">
      <c r="A162" s="295">
        <v>90</v>
      </c>
      <c r="B162" s="295" t="s">
        <v>413</v>
      </c>
      <c r="C162">
        <v>620774.59</v>
      </c>
      <c r="D162">
        <v>0</v>
      </c>
      <c r="E162" t="s">
        <v>407</v>
      </c>
    </row>
    <row r="163" spans="1:45">
      <c r="A163" s="295">
        <v>100</v>
      </c>
      <c r="B163" s="295" t="s">
        <v>414</v>
      </c>
      <c r="C163">
        <v>0</v>
      </c>
      <c r="D163">
        <v>0</v>
      </c>
      <c r="E163" t="s">
        <v>407</v>
      </c>
    </row>
    <row r="164" spans="1:45">
      <c r="A164" s="295">
        <v>110</v>
      </c>
      <c r="B164" s="295" t="s">
        <v>415</v>
      </c>
      <c r="C164">
        <v>630863.86</v>
      </c>
      <c r="D164">
        <v>0</v>
      </c>
      <c r="E164" t="s">
        <v>407</v>
      </c>
    </row>
    <row r="165" spans="1:45">
      <c r="A165" s="295">
        <v>120</v>
      </c>
      <c r="B165" s="295" t="s">
        <v>416</v>
      </c>
      <c r="C165">
        <v>-749745.33</v>
      </c>
      <c r="D165">
        <v>0</v>
      </c>
      <c r="E165" t="s">
        <v>407</v>
      </c>
    </row>
    <row r="166" spans="1:45">
      <c r="A166" s="295">
        <v>130</v>
      </c>
      <c r="B166" s="295" t="s">
        <v>417</v>
      </c>
      <c r="C166">
        <v>0</v>
      </c>
      <c r="D166">
        <v>0</v>
      </c>
      <c r="E166" t="s">
        <v>407</v>
      </c>
    </row>
    <row r="167" spans="1:45">
      <c r="A167" s="295">
        <v>135</v>
      </c>
      <c r="B167" s="295" t="s">
        <v>418</v>
      </c>
      <c r="C167">
        <v>0</v>
      </c>
      <c r="D167">
        <v>0</v>
      </c>
      <c r="E167" t="s">
        <v>407</v>
      </c>
    </row>
    <row r="168" spans="1:45">
      <c r="A168" s="295">
        <v>140</v>
      </c>
      <c r="B168" s="295" t="s">
        <v>419</v>
      </c>
      <c r="C168">
        <v>18703.11</v>
      </c>
      <c r="D168">
        <v>0</v>
      </c>
      <c r="E168" t="s">
        <v>407</v>
      </c>
    </row>
    <row r="169" spans="1:45">
      <c r="A169" s="295">
        <v>150</v>
      </c>
      <c r="B169" s="295" t="s">
        <v>420</v>
      </c>
      <c r="C169">
        <v>528231.14</v>
      </c>
      <c r="D169">
        <v>0</v>
      </c>
      <c r="E169" t="s">
        <v>407</v>
      </c>
    </row>
    <row r="170" spans="1:45">
      <c r="A170" s="295">
        <v>155</v>
      </c>
      <c r="B170" s="295" t="s">
        <v>421</v>
      </c>
      <c r="C170">
        <v>0</v>
      </c>
      <c r="D170">
        <v>0</v>
      </c>
      <c r="E170" t="s">
        <v>407</v>
      </c>
    </row>
    <row r="171" spans="1:45">
      <c r="A171" s="295">
        <v>160</v>
      </c>
      <c r="B171" s="295" t="s">
        <v>422</v>
      </c>
      <c r="C171">
        <v>-509528.03</v>
      </c>
      <c r="D171">
        <v>0</v>
      </c>
      <c r="E171" t="s">
        <v>407</v>
      </c>
    </row>
    <row r="172" spans="1:45">
      <c r="A172" s="295">
        <v>170</v>
      </c>
      <c r="B172" s="295" t="s">
        <v>423</v>
      </c>
      <c r="C172">
        <v>-240217.3</v>
      </c>
      <c r="D172">
        <v>0</v>
      </c>
      <c r="E172" t="s">
        <v>407</v>
      </c>
    </row>
    <row r="173" spans="1:45">
      <c r="A173" s="295">
        <v>180</v>
      </c>
      <c r="B173" s="295" t="s">
        <v>424</v>
      </c>
      <c r="C173">
        <v>0</v>
      </c>
      <c r="D173">
        <v>0</v>
      </c>
      <c r="E173" t="s">
        <v>407</v>
      </c>
    </row>
    <row r="174" spans="1:45">
      <c r="A174" s="295">
        <v>190</v>
      </c>
      <c r="B174" s="295" t="s">
        <v>425</v>
      </c>
      <c r="C174">
        <v>0</v>
      </c>
      <c r="D174">
        <v>0</v>
      </c>
      <c r="E174" t="s">
        <v>407</v>
      </c>
    </row>
    <row r="175" spans="1:45">
      <c r="A175" s="295">
        <v>200</v>
      </c>
      <c r="B175" s="295" t="s">
        <v>426</v>
      </c>
      <c r="C175">
        <v>-240217.3</v>
      </c>
      <c r="D175">
        <v>0</v>
      </c>
      <c r="E175" t="s">
        <v>407</v>
      </c>
    </row>
    <row r="176" spans="1:45">
      <c r="A176" s="295">
        <v>210</v>
      </c>
      <c r="B176" s="295" t="s">
        <v>427</v>
      </c>
      <c r="C176">
        <v>-749745.33</v>
      </c>
      <c r="D176">
        <v>0</v>
      </c>
      <c r="E176" t="s">
        <v>407</v>
      </c>
    </row>
    <row r="177" spans="1:45">
      <c r="A177" s="295" t="s">
        <v>441</v>
      </c>
      <c r="B177" s="295" t="s">
        <v>402</v>
      </c>
      <c r="C177" t="s">
        <v>403</v>
      </c>
      <c r="D177" t="s">
        <v>404</v>
      </c>
      <c r="E177" t="s">
        <v>405</v>
      </c>
    </row>
    <row r="178" spans="1:45">
      <c r="A178" s="295">
        <v>30</v>
      </c>
      <c r="B178" s="295" t="s">
        <v>406</v>
      </c>
      <c r="C178">
        <v>608784.26</v>
      </c>
      <c r="D178">
        <v>0</v>
      </c>
      <c r="E178" t="s">
        <v>407</v>
      </c>
    </row>
    <row r="179" spans="1:45">
      <c r="A179" s="295">
        <v>40</v>
      </c>
      <c r="B179" s="295" t="s">
        <v>408</v>
      </c>
      <c r="C179">
        <v>0</v>
      </c>
      <c r="D179">
        <v>0</v>
      </c>
      <c r="E179" t="s">
        <v>407</v>
      </c>
    </row>
    <row r="180" spans="1:45">
      <c r="A180" s="295">
        <v>50</v>
      </c>
      <c r="B180" s="295" t="s">
        <v>409</v>
      </c>
      <c r="C180">
        <v>608784.26</v>
      </c>
      <c r="D180">
        <v>0</v>
      </c>
      <c r="E180" t="s">
        <v>407</v>
      </c>
    </row>
    <row r="181" spans="1:45">
      <c r="A181" s="295">
        <v>60</v>
      </c>
      <c r="B181" s="295" t="s">
        <v>410</v>
      </c>
      <c r="C181">
        <v>626576.77</v>
      </c>
      <c r="D181">
        <v>0</v>
      </c>
      <c r="E181" t="s">
        <v>407</v>
      </c>
    </row>
    <row r="182" spans="1:45">
      <c r="A182" s="295">
        <v>70</v>
      </c>
      <c r="B182" s="295" t="s">
        <v>411</v>
      </c>
      <c r="C182">
        <v>-17792.51</v>
      </c>
      <c r="D182">
        <v>0</v>
      </c>
      <c r="E182" t="s">
        <v>407</v>
      </c>
    </row>
    <row r="183" spans="1:45">
      <c r="A183" s="295">
        <v>80</v>
      </c>
      <c r="B183" s="295" t="s">
        <v>412</v>
      </c>
      <c r="C183">
        <v>52869.56</v>
      </c>
      <c r="D183">
        <v>0</v>
      </c>
      <c r="E183" t="s">
        <v>407</v>
      </c>
    </row>
    <row r="184" spans="1:45">
      <c r="A184" s="295">
        <v>90</v>
      </c>
      <c r="B184" s="295" t="s">
        <v>413</v>
      </c>
      <c r="C184">
        <v>376560.13</v>
      </c>
      <c r="D184">
        <v>0</v>
      </c>
      <c r="E184" t="s">
        <v>407</v>
      </c>
    </row>
    <row r="185" spans="1:45">
      <c r="A185" s="295">
        <v>100</v>
      </c>
      <c r="B185" s="295" t="s">
        <v>414</v>
      </c>
      <c r="C185">
        <v>936.71</v>
      </c>
      <c r="D185">
        <v>0</v>
      </c>
      <c r="E185" t="s">
        <v>407</v>
      </c>
    </row>
    <row r="186" spans="1:45">
      <c r="A186" s="295">
        <v>110</v>
      </c>
      <c r="B186" s="295" t="s">
        <v>415</v>
      </c>
      <c r="C186">
        <v>430366.4</v>
      </c>
      <c r="D186">
        <v>0</v>
      </c>
      <c r="E186" t="s">
        <v>407</v>
      </c>
    </row>
    <row r="187" spans="1:45">
      <c r="A187" s="295">
        <v>120</v>
      </c>
      <c r="B187" s="295" t="s">
        <v>416</v>
      </c>
      <c r="C187">
        <v>-448158.91</v>
      </c>
      <c r="D187">
        <v>0</v>
      </c>
      <c r="E187" t="s">
        <v>407</v>
      </c>
    </row>
    <row r="188" spans="1:45">
      <c r="A188" s="295">
        <v>130</v>
      </c>
      <c r="B188" s="295" t="s">
        <v>417</v>
      </c>
      <c r="C188">
        <v>0</v>
      </c>
      <c r="D188">
        <v>0</v>
      </c>
      <c r="E188" t="s">
        <v>407</v>
      </c>
    </row>
    <row r="189" spans="1:45">
      <c r="A189" s="295">
        <v>135</v>
      </c>
      <c r="B189" s="295" t="s">
        <v>418</v>
      </c>
      <c r="C189">
        <v>0</v>
      </c>
      <c r="D189">
        <v>0</v>
      </c>
      <c r="E189" t="s">
        <v>407</v>
      </c>
    </row>
    <row r="190" spans="1:45">
      <c r="A190" s="295">
        <v>140</v>
      </c>
      <c r="B190" s="295" t="s">
        <v>419</v>
      </c>
      <c r="C190">
        <v>0</v>
      </c>
      <c r="D190">
        <v>0</v>
      </c>
      <c r="E190" t="s">
        <v>407</v>
      </c>
    </row>
    <row r="191" spans="1:45">
      <c r="A191" s="295">
        <v>150</v>
      </c>
      <c r="B191" s="295" t="s">
        <v>420</v>
      </c>
      <c r="C191">
        <v>0</v>
      </c>
      <c r="D191">
        <v>0</v>
      </c>
      <c r="E191" t="s">
        <v>407</v>
      </c>
    </row>
    <row r="192" spans="1:45">
      <c r="A192" s="295">
        <v>155</v>
      </c>
      <c r="B192" s="295" t="s">
        <v>421</v>
      </c>
      <c r="C192">
        <v>0</v>
      </c>
      <c r="D192">
        <v>0</v>
      </c>
      <c r="E192" t="s">
        <v>407</v>
      </c>
    </row>
    <row r="193" spans="1:45">
      <c r="A193" s="295">
        <v>160</v>
      </c>
      <c r="B193" s="295" t="s">
        <v>422</v>
      </c>
      <c r="C193">
        <v>0</v>
      </c>
      <c r="D193">
        <v>0</v>
      </c>
      <c r="E193" t="s">
        <v>407</v>
      </c>
    </row>
    <row r="194" spans="1:45">
      <c r="A194" s="295">
        <v>170</v>
      </c>
      <c r="B194" s="295" t="s">
        <v>423</v>
      </c>
      <c r="C194">
        <v>-448158.91</v>
      </c>
      <c r="D194">
        <v>0</v>
      </c>
      <c r="E194" t="s">
        <v>407</v>
      </c>
    </row>
    <row r="195" spans="1:45">
      <c r="A195" s="295">
        <v>180</v>
      </c>
      <c r="B195" s="295" t="s">
        <v>424</v>
      </c>
      <c r="C195">
        <v>0</v>
      </c>
      <c r="D195">
        <v>0</v>
      </c>
      <c r="E195" t="s">
        <v>407</v>
      </c>
    </row>
    <row r="196" spans="1:45">
      <c r="A196" s="295">
        <v>190</v>
      </c>
      <c r="B196" s="295" t="s">
        <v>425</v>
      </c>
      <c r="C196">
        <v>0</v>
      </c>
      <c r="D196">
        <v>0</v>
      </c>
      <c r="E196" t="s">
        <v>407</v>
      </c>
    </row>
    <row r="197" spans="1:45">
      <c r="A197" s="295">
        <v>200</v>
      </c>
      <c r="B197" s="295" t="s">
        <v>426</v>
      </c>
      <c r="C197">
        <v>-448158.91</v>
      </c>
      <c r="D197">
        <v>0</v>
      </c>
      <c r="E197" t="s">
        <v>407</v>
      </c>
    </row>
    <row r="198" spans="1:45">
      <c r="A198" s="295">
        <v>210</v>
      </c>
      <c r="B198" s="295" t="s">
        <v>427</v>
      </c>
      <c r="C198">
        <v>-447222.2</v>
      </c>
      <c r="D198">
        <v>0</v>
      </c>
      <c r="E198" t="s">
        <v>407</v>
      </c>
    </row>
    <row r="199" spans="1:45">
      <c r="A199" s="295" t="s">
        <v>442</v>
      </c>
      <c r="B199" s="295" t="s">
        <v>402</v>
      </c>
      <c r="C199" t="s">
        <v>403</v>
      </c>
      <c r="D199" t="s">
        <v>439</v>
      </c>
      <c r="E199" t="s">
        <v>405</v>
      </c>
    </row>
    <row r="200" spans="1:45">
      <c r="A200" s="295">
        <v>30</v>
      </c>
      <c r="B200" s="295" t="s">
        <v>406</v>
      </c>
      <c r="C200">
        <v>27902.57</v>
      </c>
      <c r="D200">
        <v>0</v>
      </c>
      <c r="E200" t="s">
        <v>407</v>
      </c>
    </row>
    <row r="201" spans="1:45">
      <c r="A201" s="295">
        <v>40</v>
      </c>
      <c r="B201" s="295" t="s">
        <v>408</v>
      </c>
      <c r="C201">
        <v>0</v>
      </c>
      <c r="D201">
        <v>0</v>
      </c>
      <c r="E201" t="s">
        <v>407</v>
      </c>
    </row>
    <row r="202" spans="1:45">
      <c r="A202" s="295">
        <v>50</v>
      </c>
      <c r="B202" s="295" t="s">
        <v>409</v>
      </c>
      <c r="C202">
        <v>27902.57</v>
      </c>
      <c r="D202">
        <v>0</v>
      </c>
      <c r="E202" t="s">
        <v>407</v>
      </c>
    </row>
    <row r="203" spans="1:45">
      <c r="A203" s="295">
        <v>60</v>
      </c>
      <c r="B203" s="295" t="s">
        <v>410</v>
      </c>
      <c r="C203">
        <v>24263.34</v>
      </c>
      <c r="D203">
        <v>0</v>
      </c>
      <c r="E203" t="s">
        <v>407</v>
      </c>
    </row>
    <row r="204" spans="1:45">
      <c r="A204" s="295">
        <v>70</v>
      </c>
      <c r="B204" s="295" t="s">
        <v>411</v>
      </c>
      <c r="C204">
        <v>3639.23</v>
      </c>
      <c r="D204">
        <v>0</v>
      </c>
      <c r="E204" t="s">
        <v>407</v>
      </c>
    </row>
    <row r="205" spans="1:45">
      <c r="A205" s="295">
        <v>80</v>
      </c>
      <c r="B205" s="295" t="s">
        <v>412</v>
      </c>
      <c r="C205">
        <v>-4873.02</v>
      </c>
      <c r="D205">
        <v>0</v>
      </c>
      <c r="E205" t="s">
        <v>407</v>
      </c>
    </row>
    <row r="206" spans="1:45">
      <c r="A206" s="295">
        <v>90</v>
      </c>
      <c r="B206" s="295" t="s">
        <v>413</v>
      </c>
      <c r="C206">
        <v>124682.21</v>
      </c>
      <c r="D206">
        <v>0</v>
      </c>
      <c r="E206" t="s">
        <v>407</v>
      </c>
    </row>
    <row r="207" spans="1:45">
      <c r="A207" s="295">
        <v>100</v>
      </c>
      <c r="B207" s="295" t="s">
        <v>414</v>
      </c>
      <c r="C207">
        <v>151289.02</v>
      </c>
      <c r="D207">
        <v>0</v>
      </c>
      <c r="E207" t="s">
        <v>407</v>
      </c>
    </row>
    <row r="208" spans="1:45">
      <c r="A208" s="295">
        <v>110</v>
      </c>
      <c r="B208" s="295" t="s">
        <v>415</v>
      </c>
      <c r="C208">
        <v>271098.21</v>
      </c>
      <c r="D208">
        <v>0</v>
      </c>
      <c r="E208" t="s">
        <v>407</v>
      </c>
    </row>
    <row r="209" spans="1:45">
      <c r="A209" s="295">
        <v>120</v>
      </c>
      <c r="B209" s="295" t="s">
        <v>416</v>
      </c>
      <c r="C209">
        <v>-267458.98</v>
      </c>
      <c r="D209">
        <v>0</v>
      </c>
      <c r="E209" t="s">
        <v>407</v>
      </c>
    </row>
    <row r="210" spans="1:45">
      <c r="A210" s="295">
        <v>130</v>
      </c>
      <c r="B210" s="295" t="s">
        <v>417</v>
      </c>
      <c r="C210">
        <v>0</v>
      </c>
      <c r="D210">
        <v>0</v>
      </c>
      <c r="E210" t="s">
        <v>407</v>
      </c>
    </row>
    <row r="211" spans="1:45">
      <c r="A211" s="295">
        <v>135</v>
      </c>
      <c r="B211" s="295" t="s">
        <v>418</v>
      </c>
      <c r="C211">
        <v>0</v>
      </c>
      <c r="D211">
        <v>0</v>
      </c>
      <c r="E211" t="s">
        <v>407</v>
      </c>
    </row>
    <row r="212" spans="1:45">
      <c r="A212" s="295">
        <v>140</v>
      </c>
      <c r="B212" s="295" t="s">
        <v>419</v>
      </c>
      <c r="C212">
        <v>7186.53</v>
      </c>
      <c r="D212">
        <v>0</v>
      </c>
      <c r="E212" t="s">
        <v>407</v>
      </c>
    </row>
    <row r="213" spans="1:45">
      <c r="A213" s="295">
        <v>150</v>
      </c>
      <c r="B213" s="295" t="s">
        <v>420</v>
      </c>
      <c r="C213">
        <v>4.43</v>
      </c>
      <c r="D213">
        <v>0</v>
      </c>
      <c r="E213" t="s">
        <v>407</v>
      </c>
    </row>
    <row r="214" spans="1:45">
      <c r="A214" s="295">
        <v>155</v>
      </c>
      <c r="B214" s="295" t="s">
        <v>421</v>
      </c>
      <c r="C214">
        <v>0</v>
      </c>
      <c r="D214">
        <v>0</v>
      </c>
      <c r="E214" t="s">
        <v>407</v>
      </c>
    </row>
    <row r="215" spans="1:45">
      <c r="A215" s="295">
        <v>160</v>
      </c>
      <c r="B215" s="295" t="s">
        <v>422</v>
      </c>
      <c r="C215">
        <v>7182.1</v>
      </c>
      <c r="D215">
        <v>0</v>
      </c>
      <c r="E215" t="s">
        <v>407</v>
      </c>
    </row>
    <row r="216" spans="1:45">
      <c r="A216" s="295">
        <v>170</v>
      </c>
      <c r="B216" s="295" t="s">
        <v>423</v>
      </c>
      <c r="C216">
        <v>-274641.08</v>
      </c>
      <c r="D216">
        <v>0</v>
      </c>
      <c r="E216" t="s">
        <v>407</v>
      </c>
    </row>
    <row r="217" spans="1:45">
      <c r="A217" s="295">
        <v>180</v>
      </c>
      <c r="B217" s="295" t="s">
        <v>424</v>
      </c>
      <c r="C217">
        <v>0</v>
      </c>
      <c r="D217">
        <v>0</v>
      </c>
      <c r="E217" t="s">
        <v>407</v>
      </c>
    </row>
    <row r="218" spans="1:45">
      <c r="A218" s="295">
        <v>190</v>
      </c>
      <c r="B218" s="295" t="s">
        <v>425</v>
      </c>
      <c r="C218">
        <v>0</v>
      </c>
      <c r="D218">
        <v>0</v>
      </c>
      <c r="E218" t="s">
        <v>407</v>
      </c>
    </row>
    <row r="219" spans="1:45">
      <c r="A219" s="295">
        <v>200</v>
      </c>
      <c r="B219" s="295" t="s">
        <v>426</v>
      </c>
      <c r="C219">
        <v>-274641.08</v>
      </c>
      <c r="D219">
        <v>0</v>
      </c>
      <c r="E219" t="s">
        <v>407</v>
      </c>
    </row>
    <row r="220" spans="1:45">
      <c r="A220" s="295">
        <v>210</v>
      </c>
      <c r="B220" s="295" t="s">
        <v>427</v>
      </c>
      <c r="C220">
        <v>-116169.96</v>
      </c>
      <c r="D220">
        <v>0</v>
      </c>
      <c r="E220" t="s">
        <v>407</v>
      </c>
    </row>
    <row r="221" spans="1:45">
      <c r="A221" s="295" t="s">
        <v>443</v>
      </c>
      <c r="B221" s="295" t="s">
        <v>402</v>
      </c>
      <c r="C221" t="s">
        <v>403</v>
      </c>
      <c r="D221" t="s">
        <v>437</v>
      </c>
      <c r="E221" t="s">
        <v>405</v>
      </c>
    </row>
    <row r="222" spans="1:45">
      <c r="A222" s="295">
        <v>30</v>
      </c>
      <c r="B222" s="295" t="s">
        <v>406</v>
      </c>
      <c r="C222">
        <v>3288000</v>
      </c>
      <c r="D222">
        <v>0</v>
      </c>
      <c r="E222" t="s">
        <v>407</v>
      </c>
    </row>
    <row r="223" spans="1:45">
      <c r="A223" s="295">
        <v>40</v>
      </c>
      <c r="B223" s="295" t="s">
        <v>408</v>
      </c>
      <c r="C223">
        <v>0</v>
      </c>
      <c r="D223">
        <v>0</v>
      </c>
      <c r="E223" t="s">
        <v>407</v>
      </c>
    </row>
    <row r="224" spans="1:45">
      <c r="A224" s="295">
        <v>50</v>
      </c>
      <c r="B224" s="295" t="s">
        <v>409</v>
      </c>
      <c r="C224">
        <v>3288000</v>
      </c>
      <c r="D224">
        <v>0</v>
      </c>
      <c r="E224" t="s">
        <v>407</v>
      </c>
    </row>
    <row r="225" spans="1:45">
      <c r="A225" s="295">
        <v>60</v>
      </c>
      <c r="B225" s="295" t="s">
        <v>410</v>
      </c>
      <c r="C225">
        <v>0</v>
      </c>
      <c r="D225">
        <v>0</v>
      </c>
      <c r="E225" t="s">
        <v>407</v>
      </c>
    </row>
    <row r="226" spans="1:45">
      <c r="A226" s="295">
        <v>70</v>
      </c>
      <c r="B226" s="295" t="s">
        <v>411</v>
      </c>
      <c r="C226">
        <v>3288000</v>
      </c>
      <c r="D226">
        <v>0</v>
      </c>
      <c r="E226" t="s">
        <v>407</v>
      </c>
    </row>
    <row r="227" spans="1:45">
      <c r="A227" s="295">
        <v>80</v>
      </c>
      <c r="B227" s="295" t="s">
        <v>412</v>
      </c>
      <c r="C227">
        <v>0</v>
      </c>
      <c r="D227">
        <v>0</v>
      </c>
      <c r="E227" t="s">
        <v>407</v>
      </c>
    </row>
    <row r="228" spans="1:45">
      <c r="A228" s="295">
        <v>90</v>
      </c>
      <c r="B228" s="295" t="s">
        <v>413</v>
      </c>
      <c r="C228">
        <v>117835.35</v>
      </c>
      <c r="D228">
        <v>0</v>
      </c>
      <c r="E228" t="s">
        <v>407</v>
      </c>
    </row>
    <row r="229" spans="1:45">
      <c r="A229" s="295">
        <v>100</v>
      </c>
      <c r="B229" s="295" t="s">
        <v>414</v>
      </c>
      <c r="C229">
        <v>0</v>
      </c>
      <c r="D229">
        <v>0</v>
      </c>
      <c r="E229" t="s">
        <v>407</v>
      </c>
    </row>
    <row r="230" spans="1:45">
      <c r="A230" s="295">
        <v>110</v>
      </c>
      <c r="B230" s="295" t="s">
        <v>415</v>
      </c>
      <c r="C230">
        <v>117835.35</v>
      </c>
      <c r="D230">
        <v>0</v>
      </c>
      <c r="E230" t="s">
        <v>407</v>
      </c>
    </row>
    <row r="231" spans="1:45">
      <c r="A231" s="295">
        <v>120</v>
      </c>
      <c r="B231" s="295" t="s">
        <v>416</v>
      </c>
      <c r="C231">
        <v>3170164.65</v>
      </c>
      <c r="D231">
        <v>0</v>
      </c>
      <c r="E231" t="s">
        <v>407</v>
      </c>
    </row>
    <row r="232" spans="1:45">
      <c r="A232" s="295">
        <v>130</v>
      </c>
      <c r="B232" s="295" t="s">
        <v>417</v>
      </c>
      <c r="C232">
        <v>2881873.6</v>
      </c>
      <c r="D232">
        <v>0</v>
      </c>
      <c r="E232" t="s">
        <v>407</v>
      </c>
    </row>
    <row r="233" spans="1:45">
      <c r="A233" s="295">
        <v>135</v>
      </c>
      <c r="B233" s="295" t="s">
        <v>418</v>
      </c>
      <c r="C233">
        <v>0</v>
      </c>
      <c r="D233">
        <v>0</v>
      </c>
      <c r="E233" t="s">
        <v>407</v>
      </c>
    </row>
    <row r="234" spans="1:45">
      <c r="A234" s="295">
        <v>140</v>
      </c>
      <c r="B234" s="295" t="s">
        <v>419</v>
      </c>
      <c r="C234">
        <v>380282.13</v>
      </c>
      <c r="D234">
        <v>0</v>
      </c>
      <c r="E234" t="s">
        <v>407</v>
      </c>
    </row>
    <row r="235" spans="1:45">
      <c r="A235" s="295">
        <v>150</v>
      </c>
      <c r="B235" s="295" t="s">
        <v>420</v>
      </c>
      <c r="C235">
        <v>40.42</v>
      </c>
      <c r="D235">
        <v>0</v>
      </c>
      <c r="E235" t="s">
        <v>407</v>
      </c>
    </row>
    <row r="236" spans="1:45">
      <c r="A236" s="295">
        <v>155</v>
      </c>
      <c r="B236" s="295" t="s">
        <v>421</v>
      </c>
      <c r="C236">
        <v>0</v>
      </c>
      <c r="D236">
        <v>0</v>
      </c>
      <c r="E236" t="s">
        <v>407</v>
      </c>
    </row>
    <row r="237" spans="1:45">
      <c r="A237" s="295">
        <v>160</v>
      </c>
      <c r="B237" s="295" t="s">
        <v>422</v>
      </c>
      <c r="C237">
        <v>3262115.31</v>
      </c>
      <c r="D237">
        <v>0</v>
      </c>
      <c r="E237" t="s">
        <v>407</v>
      </c>
    </row>
    <row r="238" spans="1:45">
      <c r="A238" s="295">
        <v>170</v>
      </c>
      <c r="B238" s="295" t="s">
        <v>423</v>
      </c>
      <c r="C238">
        <v>-91950.66</v>
      </c>
      <c r="D238">
        <v>0</v>
      </c>
      <c r="E238" t="s">
        <v>407</v>
      </c>
    </row>
    <row r="239" spans="1:45">
      <c r="A239" s="295">
        <v>180</v>
      </c>
      <c r="B239" s="295" t="s">
        <v>424</v>
      </c>
      <c r="C239">
        <v>19523.44</v>
      </c>
      <c r="D239">
        <v>0</v>
      </c>
      <c r="E239" t="s">
        <v>407</v>
      </c>
    </row>
    <row r="240" spans="1:45">
      <c r="A240" s="295">
        <v>190</v>
      </c>
      <c r="B240" s="295" t="s">
        <v>425</v>
      </c>
      <c r="C240">
        <v>0</v>
      </c>
      <c r="D240">
        <v>0</v>
      </c>
      <c r="E240" t="s">
        <v>407</v>
      </c>
    </row>
    <row r="241" spans="1:45">
      <c r="A241" s="295">
        <v>200</v>
      </c>
      <c r="B241" s="295" t="s">
        <v>426</v>
      </c>
      <c r="C241">
        <v>-111474.1</v>
      </c>
      <c r="D241">
        <v>0</v>
      </c>
      <c r="E241" t="s">
        <v>407</v>
      </c>
    </row>
    <row r="242" spans="1:45">
      <c r="A242" s="295">
        <v>210</v>
      </c>
      <c r="B242" s="295" t="s">
        <v>427</v>
      </c>
      <c r="C242">
        <v>3170164.65</v>
      </c>
      <c r="D242">
        <v>0</v>
      </c>
      <c r="E242" t="s">
        <v>407</v>
      </c>
    </row>
    <row r="243" spans="1:45">
      <c r="A243" s="295" t="s">
        <v>444</v>
      </c>
      <c r="B243" s="295" t="s">
        <v>402</v>
      </c>
      <c r="C243" t="s">
        <v>403</v>
      </c>
      <c r="D243" t="s">
        <v>437</v>
      </c>
      <c r="E243" t="s">
        <v>405</v>
      </c>
    </row>
    <row r="244" spans="1:45">
      <c r="A244" s="295">
        <v>30</v>
      </c>
      <c r="B244" s="295" t="s">
        <v>406</v>
      </c>
      <c r="C244">
        <v>3388156.17</v>
      </c>
      <c r="D244">
        <v>0</v>
      </c>
      <c r="E244" t="s">
        <v>407</v>
      </c>
    </row>
    <row r="245" spans="1:45">
      <c r="A245" s="295">
        <v>40</v>
      </c>
      <c r="B245" s="295" t="s">
        <v>408</v>
      </c>
      <c r="C245">
        <v>0</v>
      </c>
      <c r="D245">
        <v>0</v>
      </c>
      <c r="E245" t="s">
        <v>407</v>
      </c>
    </row>
    <row r="246" spans="1:45">
      <c r="A246" s="295">
        <v>50</v>
      </c>
      <c r="B246" s="295" t="s">
        <v>409</v>
      </c>
      <c r="C246">
        <v>3388156.17</v>
      </c>
      <c r="D246">
        <v>0</v>
      </c>
      <c r="E246" t="s">
        <v>407</v>
      </c>
    </row>
    <row r="247" spans="1:45">
      <c r="A247" s="295">
        <v>60</v>
      </c>
      <c r="B247" s="295" t="s">
        <v>410</v>
      </c>
      <c r="C247">
        <v>0</v>
      </c>
      <c r="D247">
        <v>0</v>
      </c>
      <c r="E247" t="s">
        <v>407</v>
      </c>
    </row>
    <row r="248" spans="1:45">
      <c r="A248" s="295">
        <v>70</v>
      </c>
      <c r="B248" s="295" t="s">
        <v>411</v>
      </c>
      <c r="C248">
        <v>3388156.17</v>
      </c>
      <c r="D248">
        <v>0</v>
      </c>
      <c r="E248" t="s">
        <v>407</v>
      </c>
    </row>
    <row r="249" spans="1:45">
      <c r="A249" s="295">
        <v>80</v>
      </c>
      <c r="B249" s="295" t="s">
        <v>412</v>
      </c>
      <c r="C249">
        <v>0</v>
      </c>
      <c r="D249">
        <v>0</v>
      </c>
      <c r="E249" t="s">
        <v>407</v>
      </c>
    </row>
    <row r="250" spans="1:45">
      <c r="A250" s="295">
        <v>90</v>
      </c>
      <c r="B250" s="295" t="s">
        <v>413</v>
      </c>
      <c r="C250">
        <v>3996586.39</v>
      </c>
      <c r="D250">
        <v>0</v>
      </c>
      <c r="E250" t="s">
        <v>407</v>
      </c>
    </row>
    <row r="251" spans="1:45">
      <c r="A251" s="295">
        <v>100</v>
      </c>
      <c r="B251" s="295" t="s">
        <v>414</v>
      </c>
      <c r="C251">
        <v>19594.25</v>
      </c>
      <c r="D251">
        <v>0</v>
      </c>
      <c r="E251" t="s">
        <v>407</v>
      </c>
    </row>
    <row r="252" spans="1:45">
      <c r="A252" s="295">
        <v>110</v>
      </c>
      <c r="B252" s="295" t="s">
        <v>415</v>
      </c>
      <c r="C252">
        <v>4016180.64</v>
      </c>
      <c r="D252">
        <v>0</v>
      </c>
      <c r="E252" t="s">
        <v>407</v>
      </c>
    </row>
    <row r="253" spans="1:45">
      <c r="A253" s="295">
        <v>120</v>
      </c>
      <c r="B253" s="295" t="s">
        <v>416</v>
      </c>
      <c r="C253">
        <v>-628024.47</v>
      </c>
      <c r="D253">
        <v>0</v>
      </c>
      <c r="E253" t="s">
        <v>407</v>
      </c>
    </row>
    <row r="254" spans="1:45">
      <c r="A254" s="295">
        <v>130</v>
      </c>
      <c r="B254" s="295" t="s">
        <v>417</v>
      </c>
      <c r="C254">
        <v>0</v>
      </c>
      <c r="D254">
        <v>0</v>
      </c>
      <c r="E254" t="s">
        <v>407</v>
      </c>
    </row>
    <row r="255" spans="1:45">
      <c r="A255" s="295">
        <v>135</v>
      </c>
      <c r="B255" s="295" t="s">
        <v>418</v>
      </c>
      <c r="C255">
        <v>0</v>
      </c>
      <c r="D255">
        <v>0</v>
      </c>
      <c r="E255" t="s">
        <v>407</v>
      </c>
    </row>
    <row r="256" spans="1:45">
      <c r="A256" s="295">
        <v>140</v>
      </c>
      <c r="B256" s="295" t="s">
        <v>419</v>
      </c>
      <c r="C256">
        <v>6741.97</v>
      </c>
      <c r="D256">
        <v>0</v>
      </c>
      <c r="E256" t="s">
        <v>407</v>
      </c>
    </row>
    <row r="257" spans="1:45">
      <c r="A257" s="295">
        <v>150</v>
      </c>
      <c r="B257" s="295" t="s">
        <v>420</v>
      </c>
      <c r="C257">
        <v>0</v>
      </c>
      <c r="D257">
        <v>0</v>
      </c>
      <c r="E257" t="s">
        <v>407</v>
      </c>
    </row>
    <row r="258" spans="1:45">
      <c r="A258" s="295">
        <v>155</v>
      </c>
      <c r="B258" s="295" t="s">
        <v>421</v>
      </c>
      <c r="C258">
        <v>0</v>
      </c>
      <c r="D258">
        <v>0</v>
      </c>
      <c r="E258" t="s">
        <v>407</v>
      </c>
    </row>
    <row r="259" spans="1:45">
      <c r="A259" s="295">
        <v>160</v>
      </c>
      <c r="B259" s="295" t="s">
        <v>422</v>
      </c>
      <c r="C259">
        <v>6741.97</v>
      </c>
      <c r="D259">
        <v>0</v>
      </c>
      <c r="E259" t="s">
        <v>407</v>
      </c>
    </row>
    <row r="260" spans="1:45">
      <c r="A260" s="295">
        <v>170</v>
      </c>
      <c r="B260" s="295" t="s">
        <v>423</v>
      </c>
      <c r="C260">
        <v>-634766.44</v>
      </c>
      <c r="D260">
        <v>0</v>
      </c>
      <c r="E260" t="s">
        <v>407</v>
      </c>
    </row>
    <row r="261" spans="1:45">
      <c r="A261" s="295">
        <v>180</v>
      </c>
      <c r="B261" s="295" t="s">
        <v>424</v>
      </c>
      <c r="C261">
        <v>0</v>
      </c>
      <c r="D261">
        <v>0</v>
      </c>
      <c r="E261" t="s">
        <v>407</v>
      </c>
    </row>
    <row r="262" spans="1:45">
      <c r="A262" s="295">
        <v>190</v>
      </c>
      <c r="B262" s="295" t="s">
        <v>425</v>
      </c>
      <c r="C262">
        <v>0</v>
      </c>
      <c r="D262">
        <v>0</v>
      </c>
      <c r="E262" t="s">
        <v>407</v>
      </c>
    </row>
    <row r="263" spans="1:45">
      <c r="A263" s="295">
        <v>200</v>
      </c>
      <c r="B263" s="295" t="s">
        <v>426</v>
      </c>
      <c r="C263">
        <v>-634766.44</v>
      </c>
      <c r="D263">
        <v>0</v>
      </c>
      <c r="E263" t="s">
        <v>407</v>
      </c>
    </row>
    <row r="264" spans="1:45">
      <c r="A264" s="295">
        <v>210</v>
      </c>
      <c r="B264" s="295" t="s">
        <v>427</v>
      </c>
      <c r="C264">
        <v>-608430.22</v>
      </c>
      <c r="D264">
        <v>0</v>
      </c>
      <c r="E264" t="s">
        <v>407</v>
      </c>
    </row>
    <row r="265" spans="1:45">
      <c r="A265" s="295" t="s">
        <v>445</v>
      </c>
      <c r="B265" s="295" t="s">
        <v>402</v>
      </c>
      <c r="C265" t="s">
        <v>403</v>
      </c>
      <c r="D265" t="s">
        <v>437</v>
      </c>
      <c r="E265" t="s">
        <v>405</v>
      </c>
    </row>
    <row r="266" spans="1:45">
      <c r="A266" s="295">
        <v>30</v>
      </c>
      <c r="B266" s="295" t="s">
        <v>406</v>
      </c>
      <c r="C266">
        <v>0</v>
      </c>
      <c r="D266">
        <v>0</v>
      </c>
      <c r="E266" t="s">
        <v>407</v>
      </c>
    </row>
    <row r="267" spans="1:45">
      <c r="A267" s="295">
        <v>40</v>
      </c>
      <c r="B267" s="295" t="s">
        <v>408</v>
      </c>
      <c r="C267">
        <v>0</v>
      </c>
      <c r="D267">
        <v>0</v>
      </c>
      <c r="E267" t="s">
        <v>407</v>
      </c>
    </row>
    <row r="268" spans="1:45">
      <c r="A268" s="295">
        <v>50</v>
      </c>
      <c r="B268" s="295" t="s">
        <v>409</v>
      </c>
      <c r="C268">
        <v>0</v>
      </c>
      <c r="D268">
        <v>0</v>
      </c>
      <c r="E268" t="s">
        <v>407</v>
      </c>
    </row>
    <row r="269" spans="1:45">
      <c r="A269" s="295">
        <v>60</v>
      </c>
      <c r="B269" s="295" t="s">
        <v>410</v>
      </c>
      <c r="C269">
        <v>0</v>
      </c>
      <c r="D269">
        <v>0</v>
      </c>
      <c r="E269" t="s">
        <v>407</v>
      </c>
    </row>
    <row r="270" spans="1:45">
      <c r="A270" s="295">
        <v>70</v>
      </c>
      <c r="B270" s="295" t="s">
        <v>411</v>
      </c>
      <c r="C270">
        <v>0</v>
      </c>
      <c r="D270">
        <v>0</v>
      </c>
      <c r="E270" t="s">
        <v>407</v>
      </c>
    </row>
    <row r="271" spans="1:45">
      <c r="A271" s="295">
        <v>80</v>
      </c>
      <c r="B271" s="295" t="s">
        <v>412</v>
      </c>
      <c r="C271">
        <v>0</v>
      </c>
      <c r="D271">
        <v>0</v>
      </c>
      <c r="E271" t="s">
        <v>407</v>
      </c>
    </row>
    <row r="272" spans="1:45">
      <c r="A272" s="295">
        <v>90</v>
      </c>
      <c r="B272" s="295" t="s">
        <v>413</v>
      </c>
      <c r="C272">
        <v>0</v>
      </c>
      <c r="D272">
        <v>0</v>
      </c>
      <c r="E272" t="s">
        <v>407</v>
      </c>
    </row>
    <row r="273" spans="1:45">
      <c r="A273" s="295">
        <v>100</v>
      </c>
      <c r="B273" s="295" t="s">
        <v>414</v>
      </c>
      <c r="C273">
        <v>0</v>
      </c>
      <c r="D273">
        <v>0</v>
      </c>
      <c r="E273" t="s">
        <v>407</v>
      </c>
    </row>
    <row r="274" spans="1:45">
      <c r="A274" s="295">
        <v>110</v>
      </c>
      <c r="B274" s="295" t="s">
        <v>415</v>
      </c>
      <c r="C274">
        <v>0</v>
      </c>
      <c r="D274">
        <v>0</v>
      </c>
      <c r="E274" t="s">
        <v>407</v>
      </c>
    </row>
    <row r="275" spans="1:45">
      <c r="A275" s="295">
        <v>120</v>
      </c>
      <c r="B275" s="295" t="s">
        <v>416</v>
      </c>
      <c r="C275">
        <v>0</v>
      </c>
      <c r="D275">
        <v>0</v>
      </c>
      <c r="E275" t="s">
        <v>407</v>
      </c>
    </row>
    <row r="276" spans="1:45">
      <c r="A276" s="295">
        <v>130</v>
      </c>
      <c r="B276" s="295" t="s">
        <v>417</v>
      </c>
      <c r="C276">
        <v>745480.79</v>
      </c>
      <c r="D276">
        <v>0</v>
      </c>
      <c r="E276" t="s">
        <v>407</v>
      </c>
    </row>
    <row r="277" spans="1:45">
      <c r="A277" s="295">
        <v>135</v>
      </c>
      <c r="B277" s="295" t="s">
        <v>418</v>
      </c>
      <c r="C277">
        <v>0</v>
      </c>
      <c r="D277">
        <v>0</v>
      </c>
      <c r="E277" t="s">
        <v>407</v>
      </c>
    </row>
    <row r="278" spans="1:45">
      <c r="A278" s="295">
        <v>140</v>
      </c>
      <c r="B278" s="295" t="s">
        <v>419</v>
      </c>
      <c r="C278">
        <v>114846.59</v>
      </c>
      <c r="D278">
        <v>0</v>
      </c>
      <c r="E278" t="s">
        <v>407</v>
      </c>
    </row>
    <row r="279" spans="1:45">
      <c r="A279" s="295">
        <v>150</v>
      </c>
      <c r="B279" s="295" t="s">
        <v>420</v>
      </c>
      <c r="C279">
        <v>0</v>
      </c>
      <c r="D279">
        <v>0</v>
      </c>
      <c r="E279" t="s">
        <v>407</v>
      </c>
    </row>
    <row r="280" spans="1:45">
      <c r="A280" s="295">
        <v>155</v>
      </c>
      <c r="B280" s="295" t="s">
        <v>421</v>
      </c>
      <c r="C280">
        <v>0</v>
      </c>
      <c r="D280">
        <v>0</v>
      </c>
      <c r="E280" t="s">
        <v>407</v>
      </c>
    </row>
    <row r="281" spans="1:45">
      <c r="A281" s="295">
        <v>160</v>
      </c>
      <c r="B281" s="295" t="s">
        <v>422</v>
      </c>
      <c r="C281">
        <v>860327.38</v>
      </c>
      <c r="D281">
        <v>0</v>
      </c>
      <c r="E281" t="s">
        <v>407</v>
      </c>
    </row>
    <row r="282" spans="1:45">
      <c r="A282" s="295">
        <v>170</v>
      </c>
      <c r="B282" s="295" t="s">
        <v>423</v>
      </c>
      <c r="C282">
        <v>-860327.38</v>
      </c>
      <c r="D282">
        <v>0</v>
      </c>
      <c r="E282" t="s">
        <v>407</v>
      </c>
    </row>
    <row r="283" spans="1:45">
      <c r="A283" s="295">
        <v>180</v>
      </c>
      <c r="B283" s="295" t="s">
        <v>424</v>
      </c>
      <c r="C283">
        <v>5917.44</v>
      </c>
      <c r="D283">
        <v>0</v>
      </c>
      <c r="E283" t="s">
        <v>407</v>
      </c>
    </row>
    <row r="284" spans="1:45">
      <c r="A284" s="295">
        <v>190</v>
      </c>
      <c r="B284" s="295" t="s">
        <v>425</v>
      </c>
      <c r="C284">
        <v>0</v>
      </c>
      <c r="D284">
        <v>0</v>
      </c>
      <c r="E284" t="s">
        <v>407</v>
      </c>
    </row>
    <row r="285" spans="1:45">
      <c r="A285" s="295">
        <v>200</v>
      </c>
      <c r="B285" s="295" t="s">
        <v>426</v>
      </c>
      <c r="C285">
        <v>-866244.82</v>
      </c>
      <c r="D285">
        <v>0</v>
      </c>
      <c r="E285" t="s">
        <v>407</v>
      </c>
    </row>
    <row r="286" spans="1:45">
      <c r="A286" s="295">
        <v>210</v>
      </c>
      <c r="B286" s="295" t="s">
        <v>427</v>
      </c>
      <c r="C286">
        <v>0</v>
      </c>
      <c r="D286">
        <v>0</v>
      </c>
      <c r="E286" t="s">
        <v>407</v>
      </c>
    </row>
    <row r="287" spans="1:45">
      <c r="A287" s="295" t="s">
        <v>446</v>
      </c>
      <c r="B287" s="295" t="s">
        <v>402</v>
      </c>
      <c r="C287" t="s">
        <v>403</v>
      </c>
      <c r="D287" t="s">
        <v>437</v>
      </c>
      <c r="E287" t="s">
        <v>405</v>
      </c>
    </row>
    <row r="288" spans="1:45">
      <c r="A288" s="295">
        <v>30</v>
      </c>
      <c r="B288" s="295" t="s">
        <v>406</v>
      </c>
      <c r="C288">
        <v>36672162.82</v>
      </c>
      <c r="D288">
        <v>20512736</v>
      </c>
      <c r="E288" t="s">
        <v>407</v>
      </c>
    </row>
    <row r="289" spans="1:45">
      <c r="A289" s="295">
        <v>40</v>
      </c>
      <c r="B289" s="295" t="s">
        <v>408</v>
      </c>
      <c r="C289">
        <v>100623.42</v>
      </c>
      <c r="D289">
        <v>0</v>
      </c>
      <c r="E289" t="s">
        <v>407</v>
      </c>
    </row>
    <row r="290" spans="1:45">
      <c r="A290" s="295">
        <v>50</v>
      </c>
      <c r="B290" s="295" t="s">
        <v>409</v>
      </c>
      <c r="C290">
        <v>36571539.4</v>
      </c>
      <c r="D290">
        <v>20512736</v>
      </c>
      <c r="E290" t="s">
        <v>407</v>
      </c>
    </row>
    <row r="291" spans="1:45">
      <c r="A291" s="295">
        <v>60</v>
      </c>
      <c r="B291" s="295" t="s">
        <v>410</v>
      </c>
      <c r="C291">
        <v>26999320.44</v>
      </c>
      <c r="D291">
        <v>10056136</v>
      </c>
      <c r="E291" t="s">
        <v>407</v>
      </c>
    </row>
    <row r="292" spans="1:45">
      <c r="A292" s="295">
        <v>70</v>
      </c>
      <c r="B292" s="295" t="s">
        <v>411</v>
      </c>
      <c r="C292">
        <v>9572218.96</v>
      </c>
      <c r="D292">
        <v>10456600</v>
      </c>
      <c r="E292" t="s">
        <v>407</v>
      </c>
    </row>
    <row r="293" spans="1:45">
      <c r="A293" s="295">
        <v>80</v>
      </c>
      <c r="B293" s="295" t="s">
        <v>412</v>
      </c>
      <c r="C293">
        <v>3629833.53</v>
      </c>
      <c r="D293">
        <v>4011296</v>
      </c>
      <c r="E293" t="s">
        <v>407</v>
      </c>
    </row>
    <row r="294" spans="1:45">
      <c r="A294" s="295">
        <v>90</v>
      </c>
      <c r="B294" s="295" t="s">
        <v>413</v>
      </c>
      <c r="C294">
        <v>2651426.99</v>
      </c>
      <c r="D294">
        <v>2571954</v>
      </c>
      <c r="E294" t="s">
        <v>407</v>
      </c>
    </row>
    <row r="295" spans="1:45">
      <c r="A295" s="295">
        <v>100</v>
      </c>
      <c r="B295" s="295" t="s">
        <v>414</v>
      </c>
      <c r="C295">
        <v>402822.15</v>
      </c>
      <c r="D295">
        <v>389594</v>
      </c>
      <c r="E295" t="s">
        <v>407</v>
      </c>
    </row>
    <row r="296" spans="1:45">
      <c r="A296" s="295">
        <v>110</v>
      </c>
      <c r="B296" s="295" t="s">
        <v>415</v>
      </c>
      <c r="C296">
        <v>6684082.67</v>
      </c>
      <c r="D296">
        <v>6972844</v>
      </c>
      <c r="E296" t="s">
        <v>407</v>
      </c>
    </row>
    <row r="297" spans="1:45">
      <c r="A297" s="295">
        <v>120</v>
      </c>
      <c r="B297" s="295" t="s">
        <v>416</v>
      </c>
      <c r="C297">
        <v>2888136.29</v>
      </c>
      <c r="D297">
        <v>3483756</v>
      </c>
      <c r="E297" t="s">
        <v>407</v>
      </c>
    </row>
    <row r="298" spans="1:45">
      <c r="A298" s="295">
        <v>130</v>
      </c>
      <c r="B298" s="295" t="s">
        <v>417</v>
      </c>
      <c r="C298">
        <v>-803.8</v>
      </c>
      <c r="D298">
        <v>0</v>
      </c>
      <c r="E298" t="s">
        <v>407</v>
      </c>
    </row>
    <row r="299" spans="1:45">
      <c r="A299" s="295">
        <v>135</v>
      </c>
      <c r="B299" s="295" t="s">
        <v>418</v>
      </c>
      <c r="C299">
        <v>-253237.74</v>
      </c>
      <c r="D299">
        <v>0</v>
      </c>
      <c r="E299" t="s">
        <v>407</v>
      </c>
    </row>
    <row r="300" spans="1:45">
      <c r="A300" s="295">
        <v>140</v>
      </c>
      <c r="B300" s="295" t="s">
        <v>419</v>
      </c>
      <c r="C300">
        <v>119044.16</v>
      </c>
      <c r="D300">
        <v>52263</v>
      </c>
      <c r="E300" t="s">
        <v>407</v>
      </c>
    </row>
    <row r="301" spans="1:45">
      <c r="A301" s="295">
        <v>150</v>
      </c>
      <c r="B301" s="295" t="s">
        <v>420</v>
      </c>
      <c r="C301">
        <v>0.12</v>
      </c>
      <c r="D301">
        <v>0</v>
      </c>
      <c r="E301" t="s">
        <v>407</v>
      </c>
    </row>
    <row r="302" spans="1:45">
      <c r="A302" s="295">
        <v>155</v>
      </c>
      <c r="B302" s="295" t="s">
        <v>421</v>
      </c>
      <c r="C302">
        <v>0</v>
      </c>
      <c r="D302">
        <v>0</v>
      </c>
      <c r="E302" t="s">
        <v>407</v>
      </c>
    </row>
    <row r="303" spans="1:45">
      <c r="A303" s="295">
        <v>160</v>
      </c>
      <c r="B303" s="295" t="s">
        <v>422</v>
      </c>
      <c r="C303">
        <v>-134997.5</v>
      </c>
      <c r="D303">
        <v>52263</v>
      </c>
      <c r="E303" t="s">
        <v>407</v>
      </c>
    </row>
    <row r="304" spans="1:45">
      <c r="A304" s="295">
        <v>170</v>
      </c>
      <c r="B304" s="295" t="s">
        <v>423</v>
      </c>
      <c r="C304">
        <v>3023133.79</v>
      </c>
      <c r="D304">
        <v>3431493</v>
      </c>
      <c r="E304" t="s">
        <v>407</v>
      </c>
    </row>
    <row r="305" spans="1:45">
      <c r="A305" s="295">
        <v>180</v>
      </c>
      <c r="B305" s="295" t="s">
        <v>424</v>
      </c>
      <c r="C305">
        <v>551995</v>
      </c>
      <c r="D305">
        <v>577615</v>
      </c>
      <c r="E305" t="s">
        <v>407</v>
      </c>
    </row>
    <row r="306" spans="1:45">
      <c r="A306" s="295">
        <v>190</v>
      </c>
      <c r="B306" s="295" t="s">
        <v>425</v>
      </c>
      <c r="C306">
        <v>0</v>
      </c>
      <c r="D306">
        <v>0</v>
      </c>
      <c r="E306" t="s">
        <v>407</v>
      </c>
    </row>
    <row r="307" spans="1:45">
      <c r="A307" s="295">
        <v>200</v>
      </c>
      <c r="B307" s="295" t="s">
        <v>426</v>
      </c>
      <c r="C307">
        <v>2471138.79</v>
      </c>
      <c r="D307">
        <v>2853878</v>
      </c>
      <c r="E307" t="s">
        <v>407</v>
      </c>
    </row>
    <row r="308" spans="1:45">
      <c r="A308" s="295">
        <v>210</v>
      </c>
      <c r="B308" s="295" t="s">
        <v>427</v>
      </c>
      <c r="C308">
        <v>3290958.44</v>
      </c>
      <c r="D308">
        <v>3873350</v>
      </c>
      <c r="E308" t="s">
        <v>407</v>
      </c>
    </row>
    <row r="309" spans="1:45">
      <c r="A309" s="295" t="s">
        <v>447</v>
      </c>
      <c r="B309" s="295" t="s">
        <v>402</v>
      </c>
      <c r="C309" t="s">
        <v>403</v>
      </c>
      <c r="D309" t="s">
        <v>437</v>
      </c>
      <c r="E309" t="s">
        <v>405</v>
      </c>
    </row>
    <row r="310" spans="1:45">
      <c r="A310" s="295">
        <v>30</v>
      </c>
      <c r="B310" s="295" t="s">
        <v>406</v>
      </c>
      <c r="C310">
        <v>27307051.24</v>
      </c>
      <c r="D310">
        <v>27437825</v>
      </c>
      <c r="E310" t="s">
        <v>407</v>
      </c>
    </row>
    <row r="311" spans="1:45">
      <c r="A311" s="295">
        <v>40</v>
      </c>
      <c r="B311" s="295" t="s">
        <v>408</v>
      </c>
      <c r="C311">
        <v>-452338.28</v>
      </c>
      <c r="D311">
        <v>0</v>
      </c>
      <c r="E311" t="s">
        <v>407</v>
      </c>
    </row>
    <row r="312" spans="1:45">
      <c r="A312" s="295">
        <v>50</v>
      </c>
      <c r="B312" s="295" t="s">
        <v>409</v>
      </c>
      <c r="C312">
        <v>26854712.96</v>
      </c>
      <c r="D312">
        <v>27437825</v>
      </c>
      <c r="E312" t="s">
        <v>407</v>
      </c>
    </row>
    <row r="313" spans="1:45">
      <c r="A313" s="295">
        <v>60</v>
      </c>
      <c r="B313" s="295" t="s">
        <v>410</v>
      </c>
      <c r="C313">
        <v>14627117.48</v>
      </c>
      <c r="D313">
        <v>15381461</v>
      </c>
      <c r="E313" t="s">
        <v>407</v>
      </c>
    </row>
    <row r="314" spans="1:45">
      <c r="A314" s="295">
        <v>70</v>
      </c>
      <c r="B314" s="295" t="s">
        <v>411</v>
      </c>
      <c r="C314">
        <v>12227595.48</v>
      </c>
      <c r="D314">
        <v>12056364</v>
      </c>
      <c r="E314" t="s">
        <v>407</v>
      </c>
    </row>
    <row r="315" spans="1:45">
      <c r="A315" s="295">
        <v>80</v>
      </c>
      <c r="B315" s="295" t="s">
        <v>412</v>
      </c>
      <c r="C315">
        <v>6622852.4</v>
      </c>
      <c r="D315">
        <v>6336974</v>
      </c>
      <c r="E315" t="s">
        <v>407</v>
      </c>
    </row>
    <row r="316" spans="1:45">
      <c r="A316" s="295">
        <v>90</v>
      </c>
      <c r="B316" s="295" t="s">
        <v>413</v>
      </c>
      <c r="C316">
        <v>1683870.51</v>
      </c>
      <c r="D316">
        <v>1864238</v>
      </c>
      <c r="E316" t="s">
        <v>407</v>
      </c>
    </row>
    <row r="317" spans="1:45">
      <c r="A317" s="295">
        <v>100</v>
      </c>
      <c r="B317" s="295" t="s">
        <v>414</v>
      </c>
      <c r="C317">
        <v>678871.73</v>
      </c>
      <c r="D317">
        <v>665903</v>
      </c>
      <c r="E317" t="s">
        <v>407</v>
      </c>
    </row>
    <row r="318" spans="1:45">
      <c r="A318" s="295">
        <v>110</v>
      </c>
      <c r="B318" s="295" t="s">
        <v>415</v>
      </c>
      <c r="C318">
        <v>8985594.64</v>
      </c>
      <c r="D318">
        <v>8867115</v>
      </c>
      <c r="E318" t="s">
        <v>407</v>
      </c>
    </row>
    <row r="319" spans="1:45">
      <c r="A319" s="295">
        <v>120</v>
      </c>
      <c r="B319" s="295" t="s">
        <v>416</v>
      </c>
      <c r="C319">
        <v>3242000.84</v>
      </c>
      <c r="D319">
        <v>3189249</v>
      </c>
      <c r="E319" t="s">
        <v>407</v>
      </c>
    </row>
    <row r="320" spans="1:45">
      <c r="A320" s="295">
        <v>130</v>
      </c>
      <c r="B320" s="295" t="s">
        <v>417</v>
      </c>
      <c r="C320">
        <v>0</v>
      </c>
      <c r="D320">
        <v>0</v>
      </c>
      <c r="E320" t="s">
        <v>407</v>
      </c>
    </row>
    <row r="321" spans="1:45">
      <c r="A321" s="295">
        <v>135</v>
      </c>
      <c r="B321" s="295" t="s">
        <v>418</v>
      </c>
      <c r="C321">
        <v>-386984</v>
      </c>
      <c r="D321">
        <v>0</v>
      </c>
      <c r="E321" t="s">
        <v>407</v>
      </c>
    </row>
    <row r="322" spans="1:45">
      <c r="A322" s="295">
        <v>140</v>
      </c>
      <c r="B322" s="295" t="s">
        <v>419</v>
      </c>
      <c r="C322">
        <v>11102.73</v>
      </c>
      <c r="D322">
        <v>13498</v>
      </c>
      <c r="E322" t="s">
        <v>407</v>
      </c>
    </row>
    <row r="323" spans="1:45">
      <c r="A323" s="295">
        <v>150</v>
      </c>
      <c r="B323" s="295" t="s">
        <v>420</v>
      </c>
      <c r="C323">
        <v>7.87</v>
      </c>
      <c r="D323">
        <v>22474</v>
      </c>
      <c r="E323" t="s">
        <v>407</v>
      </c>
    </row>
    <row r="324" spans="1:45">
      <c r="A324" s="295">
        <v>155</v>
      </c>
      <c r="B324" s="295" t="s">
        <v>421</v>
      </c>
      <c r="C324">
        <v>0</v>
      </c>
      <c r="D324">
        <v>0</v>
      </c>
      <c r="E324" t="s">
        <v>407</v>
      </c>
    </row>
    <row r="325" spans="1:45">
      <c r="A325" s="295">
        <v>160</v>
      </c>
      <c r="B325" s="295" t="s">
        <v>422</v>
      </c>
      <c r="C325">
        <v>-375889.14</v>
      </c>
      <c r="D325">
        <v>-8976</v>
      </c>
      <c r="E325" t="s">
        <v>407</v>
      </c>
    </row>
    <row r="326" spans="1:45">
      <c r="A326" s="295">
        <v>170</v>
      </c>
      <c r="B326" s="295" t="s">
        <v>423</v>
      </c>
      <c r="C326">
        <v>3617889.98</v>
      </c>
      <c r="D326">
        <v>3198225</v>
      </c>
      <c r="E326" t="s">
        <v>407</v>
      </c>
    </row>
    <row r="327" spans="1:45">
      <c r="A327" s="295">
        <v>180</v>
      </c>
      <c r="B327" s="295" t="s">
        <v>424</v>
      </c>
      <c r="C327">
        <v>695641.29</v>
      </c>
      <c r="D327">
        <v>810708</v>
      </c>
      <c r="E327" t="s">
        <v>407</v>
      </c>
    </row>
    <row r="328" spans="1:45">
      <c r="A328" s="295">
        <v>190</v>
      </c>
      <c r="B328" s="295" t="s">
        <v>425</v>
      </c>
      <c r="C328">
        <v>0</v>
      </c>
      <c r="D328">
        <v>0</v>
      </c>
      <c r="E328" t="s">
        <v>407</v>
      </c>
    </row>
    <row r="329" spans="1:45">
      <c r="A329" s="295">
        <v>200</v>
      </c>
      <c r="B329" s="295" t="s">
        <v>426</v>
      </c>
      <c r="C329">
        <v>2922248.69</v>
      </c>
      <c r="D329">
        <v>2387517</v>
      </c>
      <c r="E329" t="s">
        <v>407</v>
      </c>
    </row>
    <row r="330" spans="1:45">
      <c r="A330" s="295">
        <v>210</v>
      </c>
      <c r="B330" s="295" t="s">
        <v>427</v>
      </c>
      <c r="C330">
        <v>3920872.57</v>
      </c>
      <c r="D330">
        <v>3855152</v>
      </c>
      <c r="E330" t="s">
        <v>407</v>
      </c>
    </row>
    <row r="331" spans="1:45">
      <c r="A331" s="295" t="s">
        <v>448</v>
      </c>
      <c r="B331" s="295" t="s">
        <v>402</v>
      </c>
      <c r="C331" t="s">
        <v>433</v>
      </c>
      <c r="D331" t="s">
        <v>449</v>
      </c>
      <c r="E331" t="s">
        <v>405</v>
      </c>
    </row>
    <row r="332" spans="1:45">
      <c r="A332" s="295">
        <v>30</v>
      </c>
      <c r="B332" s="295" t="s">
        <v>406</v>
      </c>
      <c r="C332">
        <v>16241604.27</v>
      </c>
      <c r="D332">
        <v>9200281</v>
      </c>
      <c r="E332" t="s">
        <v>407</v>
      </c>
    </row>
    <row r="333" spans="1:45">
      <c r="A333" s="295">
        <v>40</v>
      </c>
      <c r="B333" s="295" t="s">
        <v>408</v>
      </c>
      <c r="C333">
        <v>383631.75</v>
      </c>
      <c r="D333">
        <v>0</v>
      </c>
      <c r="E333" t="s">
        <v>407</v>
      </c>
    </row>
    <row r="334" spans="1:45">
      <c r="A334" s="295">
        <v>50</v>
      </c>
      <c r="B334" s="295" t="s">
        <v>409</v>
      </c>
      <c r="C334">
        <v>15857972.52</v>
      </c>
      <c r="D334">
        <v>9200281</v>
      </c>
      <c r="E334" t="s">
        <v>407</v>
      </c>
    </row>
    <row r="335" spans="1:45">
      <c r="A335" s="295">
        <v>60</v>
      </c>
      <c r="B335" s="295" t="s">
        <v>410</v>
      </c>
      <c r="C335">
        <v>8070427</v>
      </c>
      <c r="D335">
        <v>4609571</v>
      </c>
      <c r="E335" t="s">
        <v>407</v>
      </c>
    </row>
    <row r="336" spans="1:45">
      <c r="A336" s="295">
        <v>70</v>
      </c>
      <c r="B336" s="295" t="s">
        <v>411</v>
      </c>
      <c r="C336">
        <v>7787545.52</v>
      </c>
      <c r="D336">
        <v>4590710</v>
      </c>
      <c r="E336" t="s">
        <v>407</v>
      </c>
    </row>
    <row r="337" spans="1:45">
      <c r="A337" s="295">
        <v>80</v>
      </c>
      <c r="B337" s="295" t="s">
        <v>412</v>
      </c>
      <c r="C337">
        <v>3546781.31</v>
      </c>
      <c r="D337">
        <v>1789790</v>
      </c>
      <c r="E337" t="s">
        <v>407</v>
      </c>
    </row>
    <row r="338" spans="1:45">
      <c r="A338" s="295">
        <v>90</v>
      </c>
      <c r="B338" s="295" t="s">
        <v>413</v>
      </c>
      <c r="C338">
        <v>361168.95</v>
      </c>
      <c r="D338">
        <v>184570</v>
      </c>
      <c r="E338" t="s">
        <v>407</v>
      </c>
    </row>
    <row r="339" spans="1:45">
      <c r="A339" s="295">
        <v>100</v>
      </c>
      <c r="B339" s="295" t="s">
        <v>414</v>
      </c>
      <c r="C339">
        <v>355089</v>
      </c>
      <c r="D339">
        <v>182209</v>
      </c>
      <c r="E339" t="s">
        <v>407</v>
      </c>
    </row>
    <row r="340" spans="1:45">
      <c r="A340" s="295">
        <v>110</v>
      </c>
      <c r="B340" s="295" t="s">
        <v>415</v>
      </c>
      <c r="C340">
        <v>4263039.26</v>
      </c>
      <c r="D340">
        <v>2156569</v>
      </c>
      <c r="E340" t="s">
        <v>407</v>
      </c>
    </row>
    <row r="341" spans="1:45">
      <c r="A341" s="295">
        <v>120</v>
      </c>
      <c r="B341" s="295" t="s">
        <v>416</v>
      </c>
      <c r="C341">
        <v>3524506.26</v>
      </c>
      <c r="D341">
        <v>2434141</v>
      </c>
      <c r="E341" t="s">
        <v>407</v>
      </c>
    </row>
    <row r="342" spans="1:45">
      <c r="A342" s="295">
        <v>130</v>
      </c>
      <c r="B342" s="295" t="s">
        <v>417</v>
      </c>
      <c r="C342">
        <v>0</v>
      </c>
      <c r="D342">
        <v>0</v>
      </c>
      <c r="E342" t="s">
        <v>407</v>
      </c>
    </row>
    <row r="343" spans="1:45">
      <c r="A343" s="295">
        <v>135</v>
      </c>
      <c r="B343" s="295" t="s">
        <v>418</v>
      </c>
      <c r="C343">
        <v>-2163.72</v>
      </c>
      <c r="D343">
        <v>0</v>
      </c>
      <c r="E343" t="s">
        <v>407</v>
      </c>
    </row>
    <row r="344" spans="1:45">
      <c r="A344" s="295">
        <v>140</v>
      </c>
      <c r="B344" s="295" t="s">
        <v>419</v>
      </c>
      <c r="C344">
        <v>29364.71</v>
      </c>
      <c r="D344">
        <v>26099</v>
      </c>
      <c r="E344" t="s">
        <v>407</v>
      </c>
    </row>
    <row r="345" spans="1:45">
      <c r="A345" s="295">
        <v>150</v>
      </c>
      <c r="B345" s="295" t="s">
        <v>420</v>
      </c>
      <c r="C345">
        <v>0</v>
      </c>
      <c r="D345">
        <v>0</v>
      </c>
      <c r="E345" t="s">
        <v>407</v>
      </c>
    </row>
    <row r="346" spans="1:45">
      <c r="A346" s="295">
        <v>155</v>
      </c>
      <c r="B346" s="295" t="s">
        <v>421</v>
      </c>
      <c r="C346">
        <v>0</v>
      </c>
      <c r="D346">
        <v>0</v>
      </c>
      <c r="E346" t="s">
        <v>407</v>
      </c>
    </row>
    <row r="347" spans="1:45">
      <c r="A347" s="295">
        <v>160</v>
      </c>
      <c r="B347" s="295" t="s">
        <v>422</v>
      </c>
      <c r="C347">
        <v>27200.99</v>
      </c>
      <c r="D347">
        <v>26099</v>
      </c>
      <c r="E347" t="s">
        <v>407</v>
      </c>
    </row>
    <row r="348" spans="1:45">
      <c r="A348" s="295">
        <v>170</v>
      </c>
      <c r="B348" s="295" t="s">
        <v>423</v>
      </c>
      <c r="C348">
        <v>3497305.27</v>
      </c>
      <c r="D348">
        <v>2408042</v>
      </c>
      <c r="E348" t="s">
        <v>407</v>
      </c>
    </row>
    <row r="349" spans="1:45">
      <c r="A349" s="295">
        <v>180</v>
      </c>
      <c r="B349" s="295" t="s">
        <v>424</v>
      </c>
      <c r="C349">
        <v>258763</v>
      </c>
      <c r="D349">
        <v>265491</v>
      </c>
      <c r="E349" t="s">
        <v>407</v>
      </c>
    </row>
    <row r="350" spans="1:45">
      <c r="A350" s="295">
        <v>190</v>
      </c>
      <c r="B350" s="295" t="s">
        <v>425</v>
      </c>
      <c r="C350">
        <v>0</v>
      </c>
      <c r="D350">
        <v>0</v>
      </c>
      <c r="E350" t="s">
        <v>407</v>
      </c>
    </row>
    <row r="351" spans="1:45">
      <c r="A351" s="295">
        <v>200</v>
      </c>
      <c r="B351" s="295" t="s">
        <v>426</v>
      </c>
      <c r="C351">
        <v>3238542.27</v>
      </c>
      <c r="D351">
        <v>2142551</v>
      </c>
      <c r="E351" t="s">
        <v>407</v>
      </c>
    </row>
    <row r="352" spans="1:45">
      <c r="A352" s="295">
        <v>210</v>
      </c>
      <c r="B352" s="295" t="s">
        <v>427</v>
      </c>
      <c r="C352">
        <v>3879595.26</v>
      </c>
      <c r="D352">
        <v>2616350</v>
      </c>
      <c r="E352" t="s">
        <v>407</v>
      </c>
    </row>
    <row r="353" spans="1:45">
      <c r="A353" s="295" t="s">
        <v>450</v>
      </c>
      <c r="B353" s="295" t="s">
        <v>402</v>
      </c>
      <c r="C353" t="s">
        <v>403</v>
      </c>
      <c r="D353" t="s">
        <v>437</v>
      </c>
      <c r="E353" t="s">
        <v>405</v>
      </c>
    </row>
    <row r="354" spans="1:45">
      <c r="A354" s="295">
        <v>30</v>
      </c>
      <c r="B354" s="295" t="s">
        <v>406</v>
      </c>
      <c r="C354">
        <v>5459195.34</v>
      </c>
      <c r="D354">
        <v>11219846</v>
      </c>
      <c r="E354" t="s">
        <v>407</v>
      </c>
    </row>
    <row r="355" spans="1:45">
      <c r="A355" s="295">
        <v>40</v>
      </c>
      <c r="B355" s="295" t="s">
        <v>408</v>
      </c>
      <c r="C355">
        <v>-127847.94</v>
      </c>
      <c r="D355">
        <v>0</v>
      </c>
      <c r="E355" t="s">
        <v>407</v>
      </c>
    </row>
    <row r="356" spans="1:45">
      <c r="A356" s="295">
        <v>50</v>
      </c>
      <c r="B356" s="295" t="s">
        <v>409</v>
      </c>
      <c r="C356">
        <v>5331347.4</v>
      </c>
      <c r="D356">
        <v>11219846</v>
      </c>
      <c r="E356" t="s">
        <v>407</v>
      </c>
    </row>
    <row r="357" spans="1:45">
      <c r="A357" s="295">
        <v>60</v>
      </c>
      <c r="B357" s="295" t="s">
        <v>410</v>
      </c>
      <c r="C357">
        <v>2755911.35</v>
      </c>
      <c r="D357">
        <v>6063795</v>
      </c>
      <c r="E357" t="s">
        <v>407</v>
      </c>
    </row>
    <row r="358" spans="1:45">
      <c r="A358" s="295">
        <v>70</v>
      </c>
      <c r="B358" s="295" t="s">
        <v>411</v>
      </c>
      <c r="C358">
        <v>2575436.05</v>
      </c>
      <c r="D358">
        <v>5156051</v>
      </c>
      <c r="E358" t="s">
        <v>407</v>
      </c>
    </row>
    <row r="359" spans="1:45">
      <c r="A359" s="295">
        <v>80</v>
      </c>
      <c r="B359" s="295" t="s">
        <v>412</v>
      </c>
      <c r="C359">
        <v>4776621.28</v>
      </c>
      <c r="D359">
        <v>2849566</v>
      </c>
      <c r="E359" t="s">
        <v>407</v>
      </c>
    </row>
    <row r="360" spans="1:45">
      <c r="A360" s="295">
        <v>90</v>
      </c>
      <c r="B360" s="295" t="s">
        <v>413</v>
      </c>
      <c r="C360">
        <v>570176.78</v>
      </c>
      <c r="D360">
        <v>671037</v>
      </c>
      <c r="E360" t="s">
        <v>407</v>
      </c>
    </row>
    <row r="361" spans="1:45">
      <c r="A361" s="295">
        <v>100</v>
      </c>
      <c r="B361" s="295" t="s">
        <v>414</v>
      </c>
      <c r="C361">
        <v>457157.41</v>
      </c>
      <c r="D361">
        <v>457162</v>
      </c>
      <c r="E361" t="s">
        <v>407</v>
      </c>
    </row>
    <row r="362" spans="1:45">
      <c r="A362" s="295">
        <v>110</v>
      </c>
      <c r="B362" s="295" t="s">
        <v>415</v>
      </c>
      <c r="C362">
        <v>5803955.47</v>
      </c>
      <c r="D362">
        <v>3977765</v>
      </c>
      <c r="E362" t="s">
        <v>407</v>
      </c>
    </row>
    <row r="363" spans="1:45">
      <c r="A363" s="295">
        <v>120</v>
      </c>
      <c r="B363" s="295" t="s">
        <v>416</v>
      </c>
      <c r="C363">
        <v>-3228519.42</v>
      </c>
      <c r="D363">
        <v>1178286</v>
      </c>
      <c r="E363" t="s">
        <v>407</v>
      </c>
    </row>
    <row r="364" spans="1:45">
      <c r="A364" s="295">
        <v>130</v>
      </c>
      <c r="B364" s="295" t="s">
        <v>417</v>
      </c>
      <c r="C364">
        <v>0</v>
      </c>
      <c r="D364">
        <v>0</v>
      </c>
      <c r="E364" t="s">
        <v>407</v>
      </c>
    </row>
    <row r="365" spans="1:45">
      <c r="A365" s="295">
        <v>135</v>
      </c>
      <c r="B365" s="295" t="s">
        <v>418</v>
      </c>
      <c r="C365">
        <v>-3469990.99</v>
      </c>
      <c r="D365">
        <v>0</v>
      </c>
      <c r="E365" t="s">
        <v>407</v>
      </c>
    </row>
    <row r="366" spans="1:45">
      <c r="A366" s="295">
        <v>140</v>
      </c>
      <c r="B366" s="295" t="s">
        <v>419</v>
      </c>
      <c r="C366">
        <v>0</v>
      </c>
      <c r="D366">
        <v>33330</v>
      </c>
      <c r="E366" t="s">
        <v>407</v>
      </c>
    </row>
    <row r="367" spans="1:45">
      <c r="A367" s="295">
        <v>150</v>
      </c>
      <c r="B367" s="295" t="s">
        <v>420</v>
      </c>
      <c r="C367">
        <v>0</v>
      </c>
      <c r="D367">
        <v>5737</v>
      </c>
      <c r="E367" t="s">
        <v>407</v>
      </c>
    </row>
    <row r="368" spans="1:45">
      <c r="A368" s="295">
        <v>155</v>
      </c>
      <c r="B368" s="295" t="s">
        <v>421</v>
      </c>
      <c r="C368">
        <v>0</v>
      </c>
      <c r="D368">
        <v>0</v>
      </c>
      <c r="E368" t="s">
        <v>407</v>
      </c>
    </row>
    <row r="369" spans="1:45">
      <c r="A369" s="295">
        <v>160</v>
      </c>
      <c r="B369" s="295" t="s">
        <v>422</v>
      </c>
      <c r="C369">
        <v>-3469990.99</v>
      </c>
      <c r="D369">
        <v>27593</v>
      </c>
      <c r="E369" t="s">
        <v>407</v>
      </c>
    </row>
    <row r="370" spans="1:45">
      <c r="A370" s="295">
        <v>170</v>
      </c>
      <c r="B370" s="295" t="s">
        <v>423</v>
      </c>
      <c r="C370">
        <v>241471.57</v>
      </c>
      <c r="D370">
        <v>1150693</v>
      </c>
      <c r="E370" t="s">
        <v>407</v>
      </c>
    </row>
    <row r="371" spans="1:45">
      <c r="A371" s="295">
        <v>180</v>
      </c>
      <c r="B371" s="295" t="s">
        <v>424</v>
      </c>
      <c r="C371">
        <v>263250</v>
      </c>
      <c r="D371">
        <v>323769</v>
      </c>
      <c r="E371" t="s">
        <v>407</v>
      </c>
    </row>
    <row r="372" spans="1:45">
      <c r="A372" s="295">
        <v>190</v>
      </c>
      <c r="B372" s="295" t="s">
        <v>425</v>
      </c>
      <c r="C372">
        <v>0</v>
      </c>
      <c r="D372">
        <v>0</v>
      </c>
      <c r="E372" t="s">
        <v>407</v>
      </c>
    </row>
    <row r="373" spans="1:45">
      <c r="A373" s="295">
        <v>200</v>
      </c>
      <c r="B373" s="295" t="s">
        <v>426</v>
      </c>
      <c r="C373">
        <v>-21778.43</v>
      </c>
      <c r="D373">
        <v>826924</v>
      </c>
      <c r="E373" t="s">
        <v>407</v>
      </c>
    </row>
    <row r="374" spans="1:45">
      <c r="A374" s="295">
        <v>210</v>
      </c>
      <c r="B374" s="295" t="s">
        <v>427</v>
      </c>
      <c r="C374">
        <v>-2771362.01</v>
      </c>
      <c r="D374">
        <v>1635448</v>
      </c>
      <c r="E374" t="s">
        <v>407</v>
      </c>
    </row>
    <row r="375" spans="1:45">
      <c r="A375" s="295" t="s">
        <v>451</v>
      </c>
      <c r="B375" s="295" t="s">
        <v>402</v>
      </c>
      <c r="C375" t="s">
        <v>403</v>
      </c>
      <c r="D375" t="s">
        <v>437</v>
      </c>
      <c r="E375" t="s">
        <v>405</v>
      </c>
    </row>
    <row r="376" spans="1:45">
      <c r="A376" s="295">
        <v>30</v>
      </c>
      <c r="B376" s="295" t="s">
        <v>406</v>
      </c>
      <c r="C376">
        <v>69500286.82</v>
      </c>
      <c r="D376">
        <v>61214156</v>
      </c>
      <c r="E376" t="s">
        <v>407</v>
      </c>
    </row>
    <row r="377" spans="1:45">
      <c r="A377" s="295">
        <v>40</v>
      </c>
      <c r="B377" s="295" t="s">
        <v>408</v>
      </c>
      <c r="C377">
        <v>0</v>
      </c>
      <c r="D377">
        <v>0</v>
      </c>
      <c r="E377" t="s">
        <v>407</v>
      </c>
    </row>
    <row r="378" spans="1:45">
      <c r="A378" s="295">
        <v>50</v>
      </c>
      <c r="B378" s="295" t="s">
        <v>409</v>
      </c>
      <c r="C378">
        <v>69500286.82</v>
      </c>
      <c r="D378">
        <v>61214156</v>
      </c>
      <c r="E378" t="s">
        <v>407</v>
      </c>
    </row>
    <row r="379" spans="1:45">
      <c r="A379" s="295">
        <v>60</v>
      </c>
      <c r="B379" s="295" t="s">
        <v>410</v>
      </c>
      <c r="C379">
        <v>60021964.62</v>
      </c>
      <c r="D379">
        <v>51012955</v>
      </c>
      <c r="E379" t="s">
        <v>407</v>
      </c>
    </row>
    <row r="380" spans="1:45">
      <c r="A380" s="295">
        <v>70</v>
      </c>
      <c r="B380" s="295" t="s">
        <v>411</v>
      </c>
      <c r="C380">
        <v>9478322.2</v>
      </c>
      <c r="D380">
        <v>10201201</v>
      </c>
      <c r="E380" t="s">
        <v>407</v>
      </c>
    </row>
    <row r="381" spans="1:45">
      <c r="A381" s="295">
        <v>80</v>
      </c>
      <c r="B381" s="295" t="s">
        <v>412</v>
      </c>
      <c r="C381">
        <v>2656632.16</v>
      </c>
      <c r="D381">
        <v>3241750</v>
      </c>
      <c r="E381" t="s">
        <v>407</v>
      </c>
    </row>
    <row r="382" spans="1:45">
      <c r="A382" s="295">
        <v>90</v>
      </c>
      <c r="B382" s="295" t="s">
        <v>413</v>
      </c>
      <c r="C382">
        <v>1503931.2</v>
      </c>
      <c r="D382">
        <v>1179764</v>
      </c>
      <c r="E382" t="s">
        <v>407</v>
      </c>
    </row>
    <row r="383" spans="1:45">
      <c r="A383" s="295">
        <v>100</v>
      </c>
      <c r="B383" s="295" t="s">
        <v>414</v>
      </c>
      <c r="C383">
        <v>475475.21</v>
      </c>
      <c r="D383">
        <v>320128</v>
      </c>
      <c r="E383" t="s">
        <v>407</v>
      </c>
    </row>
    <row r="384" spans="1:45">
      <c r="A384" s="295">
        <v>110</v>
      </c>
      <c r="B384" s="295" t="s">
        <v>415</v>
      </c>
      <c r="C384">
        <v>4636038.57</v>
      </c>
      <c r="D384">
        <v>4741642</v>
      </c>
      <c r="E384" t="s">
        <v>407</v>
      </c>
    </row>
    <row r="385" spans="1:45">
      <c r="A385" s="295">
        <v>120</v>
      </c>
      <c r="B385" s="295" t="s">
        <v>416</v>
      </c>
      <c r="C385">
        <v>4842283.63</v>
      </c>
      <c r="D385">
        <v>5459559</v>
      </c>
      <c r="E385" t="s">
        <v>407</v>
      </c>
    </row>
    <row r="386" spans="1:45">
      <c r="A386" s="295">
        <v>130</v>
      </c>
      <c r="B386" s="295" t="s">
        <v>417</v>
      </c>
      <c r="C386">
        <v>1864833.59</v>
      </c>
      <c r="D386">
        <v>89192</v>
      </c>
      <c r="E386" t="s">
        <v>407</v>
      </c>
    </row>
    <row r="387" spans="1:45">
      <c r="A387" s="295">
        <v>135</v>
      </c>
      <c r="B387" s="295" t="s">
        <v>418</v>
      </c>
      <c r="C387">
        <v>-651186.16</v>
      </c>
      <c r="D387">
        <v>0</v>
      </c>
      <c r="E387" t="s">
        <v>407</v>
      </c>
    </row>
    <row r="388" spans="1:45">
      <c r="A388" s="295">
        <v>140</v>
      </c>
      <c r="B388" s="295" t="s">
        <v>419</v>
      </c>
      <c r="C388">
        <v>297478.89</v>
      </c>
      <c r="D388">
        <v>169618</v>
      </c>
      <c r="E388" t="s">
        <v>407</v>
      </c>
    </row>
    <row r="389" spans="1:45">
      <c r="A389" s="295">
        <v>150</v>
      </c>
      <c r="B389" s="295" t="s">
        <v>420</v>
      </c>
      <c r="C389">
        <v>0</v>
      </c>
      <c r="D389">
        <v>188258</v>
      </c>
      <c r="E389" t="s">
        <v>407</v>
      </c>
    </row>
    <row r="390" spans="1:45">
      <c r="A390" s="295">
        <v>155</v>
      </c>
      <c r="B390" s="295" t="s">
        <v>421</v>
      </c>
      <c r="C390">
        <v>0</v>
      </c>
      <c r="D390">
        <v>0</v>
      </c>
      <c r="E390" t="s">
        <v>407</v>
      </c>
    </row>
    <row r="391" spans="1:45">
      <c r="A391" s="295">
        <v>160</v>
      </c>
      <c r="B391" s="295" t="s">
        <v>422</v>
      </c>
      <c r="C391">
        <v>1511126.32</v>
      </c>
      <c r="D391">
        <v>70552</v>
      </c>
      <c r="E391" t="s">
        <v>407</v>
      </c>
    </row>
    <row r="392" spans="1:45">
      <c r="A392" s="295">
        <v>170</v>
      </c>
      <c r="B392" s="295" t="s">
        <v>423</v>
      </c>
      <c r="C392">
        <v>3331157.31</v>
      </c>
      <c r="D392">
        <v>5389007</v>
      </c>
      <c r="E392" t="s">
        <v>407</v>
      </c>
    </row>
    <row r="393" spans="1:45">
      <c r="A393" s="295">
        <v>180</v>
      </c>
      <c r="B393" s="295" t="s">
        <v>424</v>
      </c>
      <c r="C393">
        <v>768878</v>
      </c>
      <c r="D393">
        <v>748554</v>
      </c>
      <c r="E393" t="s">
        <v>407</v>
      </c>
    </row>
    <row r="394" spans="1:45">
      <c r="A394" s="295">
        <v>190</v>
      </c>
      <c r="B394" s="295" t="s">
        <v>425</v>
      </c>
      <c r="C394">
        <v>0</v>
      </c>
      <c r="D394">
        <v>0</v>
      </c>
      <c r="E394" t="s">
        <v>407</v>
      </c>
    </row>
    <row r="395" spans="1:45">
      <c r="A395" s="295">
        <v>200</v>
      </c>
      <c r="B395" s="295" t="s">
        <v>426</v>
      </c>
      <c r="C395">
        <v>2562279.31</v>
      </c>
      <c r="D395">
        <v>4640453</v>
      </c>
      <c r="E395" t="s">
        <v>407</v>
      </c>
    </row>
    <row r="396" spans="1:45">
      <c r="A396" s="295">
        <v>210</v>
      </c>
      <c r="B396" s="295" t="s">
        <v>427</v>
      </c>
      <c r="C396">
        <v>5317758.84</v>
      </c>
      <c r="D396">
        <v>5779687</v>
      </c>
      <c r="E396" t="s">
        <v>407</v>
      </c>
    </row>
    <row r="397" spans="1:45">
      <c r="A397" s="295" t="s">
        <v>452</v>
      </c>
      <c r="B397" s="295" t="s">
        <v>402</v>
      </c>
      <c r="C397" t="s">
        <v>403</v>
      </c>
      <c r="D397" t="s">
        <v>437</v>
      </c>
      <c r="E397" t="s">
        <v>405</v>
      </c>
    </row>
    <row r="398" spans="1:45">
      <c r="A398" s="295">
        <v>30</v>
      </c>
      <c r="B398" s="295" t="s">
        <v>406</v>
      </c>
      <c r="C398">
        <v>3727314.02</v>
      </c>
      <c r="D398">
        <v>6151872</v>
      </c>
      <c r="E398" t="s">
        <v>407</v>
      </c>
    </row>
    <row r="399" spans="1:45">
      <c r="A399" s="295">
        <v>40</v>
      </c>
      <c r="B399" s="295" t="s">
        <v>408</v>
      </c>
      <c r="C399">
        <v>-73964.74</v>
      </c>
      <c r="D399">
        <v>0</v>
      </c>
      <c r="E399" t="s">
        <v>407</v>
      </c>
    </row>
    <row r="400" spans="1:45">
      <c r="A400" s="295">
        <v>50</v>
      </c>
      <c r="B400" s="295" t="s">
        <v>409</v>
      </c>
      <c r="C400">
        <v>3653349.28</v>
      </c>
      <c r="D400">
        <v>6151872</v>
      </c>
      <c r="E400" t="s">
        <v>407</v>
      </c>
    </row>
    <row r="401" spans="1:45">
      <c r="A401" s="295">
        <v>60</v>
      </c>
      <c r="B401" s="295" t="s">
        <v>410</v>
      </c>
      <c r="C401">
        <v>1804308.78</v>
      </c>
      <c r="D401">
        <v>3404805</v>
      </c>
      <c r="E401" t="s">
        <v>407</v>
      </c>
    </row>
    <row r="402" spans="1:45">
      <c r="A402" s="295">
        <v>70</v>
      </c>
      <c r="B402" s="295" t="s">
        <v>411</v>
      </c>
      <c r="C402">
        <v>1849040.5</v>
      </c>
      <c r="D402">
        <v>2747067</v>
      </c>
      <c r="E402" t="s">
        <v>407</v>
      </c>
    </row>
    <row r="403" spans="1:45">
      <c r="A403" s="295">
        <v>80</v>
      </c>
      <c r="B403" s="295" t="s">
        <v>412</v>
      </c>
      <c r="C403">
        <v>1125998.41</v>
      </c>
      <c r="D403">
        <v>1207585</v>
      </c>
      <c r="E403" t="s">
        <v>407</v>
      </c>
    </row>
    <row r="404" spans="1:45">
      <c r="A404" s="295">
        <v>90</v>
      </c>
      <c r="B404" s="295" t="s">
        <v>413</v>
      </c>
      <c r="C404">
        <v>1580.34</v>
      </c>
      <c r="D404">
        <v>3333</v>
      </c>
      <c r="E404" t="s">
        <v>407</v>
      </c>
    </row>
    <row r="405" spans="1:45">
      <c r="A405" s="295">
        <v>100</v>
      </c>
      <c r="B405" s="295" t="s">
        <v>414</v>
      </c>
      <c r="C405">
        <v>278712.63</v>
      </c>
      <c r="D405">
        <v>287254</v>
      </c>
      <c r="E405" t="s">
        <v>407</v>
      </c>
    </row>
    <row r="406" spans="1:45">
      <c r="A406" s="295">
        <v>110</v>
      </c>
      <c r="B406" s="295" t="s">
        <v>415</v>
      </c>
      <c r="C406">
        <v>1406291.38</v>
      </c>
      <c r="D406">
        <v>1498172</v>
      </c>
      <c r="E406" t="s">
        <v>407</v>
      </c>
    </row>
    <row r="407" spans="1:45">
      <c r="A407" s="295">
        <v>120</v>
      </c>
      <c r="B407" s="295" t="s">
        <v>416</v>
      </c>
      <c r="C407">
        <v>442749.12</v>
      </c>
      <c r="D407">
        <v>1248895</v>
      </c>
      <c r="E407" t="s">
        <v>407</v>
      </c>
    </row>
    <row r="408" spans="1:45">
      <c r="A408" s="295">
        <v>130</v>
      </c>
      <c r="B408" s="295" t="s">
        <v>417</v>
      </c>
      <c r="C408">
        <v>0</v>
      </c>
      <c r="D408">
        <v>0</v>
      </c>
      <c r="E408" t="s">
        <v>407</v>
      </c>
    </row>
    <row r="409" spans="1:45">
      <c r="A409" s="295">
        <v>135</v>
      </c>
      <c r="B409" s="295" t="s">
        <v>418</v>
      </c>
      <c r="C409">
        <v>-3.4</v>
      </c>
      <c r="D409">
        <v>0</v>
      </c>
      <c r="E409" t="s">
        <v>407</v>
      </c>
    </row>
    <row r="410" spans="1:45">
      <c r="A410" s="295">
        <v>140</v>
      </c>
      <c r="B410" s="295" t="s">
        <v>419</v>
      </c>
      <c r="C410">
        <v>0</v>
      </c>
      <c r="D410">
        <v>0</v>
      </c>
      <c r="E410" t="s">
        <v>407</v>
      </c>
    </row>
    <row r="411" spans="1:45">
      <c r="A411" s="295">
        <v>150</v>
      </c>
      <c r="B411" s="295" t="s">
        <v>420</v>
      </c>
      <c r="C411">
        <v>4.49</v>
      </c>
      <c r="D411">
        <v>0</v>
      </c>
      <c r="E411" t="s">
        <v>407</v>
      </c>
    </row>
    <row r="412" spans="1:45">
      <c r="A412" s="295">
        <v>155</v>
      </c>
      <c r="B412" s="295" t="s">
        <v>421</v>
      </c>
      <c r="C412">
        <v>0</v>
      </c>
      <c r="D412">
        <v>0</v>
      </c>
      <c r="E412" t="s">
        <v>407</v>
      </c>
    </row>
    <row r="413" spans="1:45">
      <c r="A413" s="295">
        <v>160</v>
      </c>
      <c r="B413" s="295" t="s">
        <v>422</v>
      </c>
      <c r="C413">
        <v>-7.89</v>
      </c>
      <c r="D413">
        <v>0</v>
      </c>
      <c r="E413" t="s">
        <v>407</v>
      </c>
    </row>
    <row r="414" spans="1:45">
      <c r="A414" s="295">
        <v>170</v>
      </c>
      <c r="B414" s="295" t="s">
        <v>423</v>
      </c>
      <c r="C414">
        <v>442757.01</v>
      </c>
      <c r="D414">
        <v>1248895</v>
      </c>
      <c r="E414" t="s">
        <v>407</v>
      </c>
    </row>
    <row r="415" spans="1:45">
      <c r="A415" s="295">
        <v>180</v>
      </c>
      <c r="B415" s="295" t="s">
        <v>424</v>
      </c>
      <c r="C415">
        <v>67204</v>
      </c>
      <c r="D415">
        <v>175639</v>
      </c>
      <c r="E415" t="s">
        <v>407</v>
      </c>
    </row>
    <row r="416" spans="1:45">
      <c r="A416" s="295">
        <v>190</v>
      </c>
      <c r="B416" s="295" t="s">
        <v>425</v>
      </c>
      <c r="C416">
        <v>0</v>
      </c>
      <c r="D416">
        <v>0</v>
      </c>
      <c r="E416" t="s">
        <v>407</v>
      </c>
    </row>
    <row r="417" spans="1:45">
      <c r="A417" s="295">
        <v>200</v>
      </c>
      <c r="B417" s="295" t="s">
        <v>426</v>
      </c>
      <c r="C417">
        <v>375553.01</v>
      </c>
      <c r="D417">
        <v>1073256</v>
      </c>
      <c r="E417" t="s">
        <v>407</v>
      </c>
    </row>
    <row r="418" spans="1:45">
      <c r="A418" s="295">
        <v>210</v>
      </c>
      <c r="B418" s="295" t="s">
        <v>427</v>
      </c>
      <c r="C418">
        <v>721461.75</v>
      </c>
      <c r="D418">
        <v>1536149</v>
      </c>
      <c r="E418" t="s">
        <v>407</v>
      </c>
    </row>
    <row r="419" spans="1:45">
      <c r="A419" s="295" t="s">
        <v>453</v>
      </c>
      <c r="B419" s="295" t="s">
        <v>402</v>
      </c>
      <c r="C419" t="s">
        <v>403</v>
      </c>
      <c r="D419" t="s">
        <v>437</v>
      </c>
      <c r="E419" t="s">
        <v>405</v>
      </c>
    </row>
    <row r="420" spans="1:45">
      <c r="A420" s="295">
        <v>30</v>
      </c>
      <c r="B420" s="295" t="s">
        <v>406</v>
      </c>
      <c r="C420">
        <v>1675915.15</v>
      </c>
      <c r="D420">
        <v>5011767</v>
      </c>
      <c r="E420" t="s">
        <v>407</v>
      </c>
    </row>
    <row r="421" spans="1:45">
      <c r="A421" s="295">
        <v>40</v>
      </c>
      <c r="B421" s="295" t="s">
        <v>408</v>
      </c>
      <c r="C421">
        <v>0</v>
      </c>
      <c r="D421">
        <v>0</v>
      </c>
      <c r="E421" t="s">
        <v>407</v>
      </c>
    </row>
    <row r="422" spans="1:45">
      <c r="A422" s="295">
        <v>50</v>
      </c>
      <c r="B422" s="295" t="s">
        <v>409</v>
      </c>
      <c r="C422">
        <v>1675915.15</v>
      </c>
      <c r="D422">
        <v>5011767</v>
      </c>
      <c r="E422" t="s">
        <v>407</v>
      </c>
    </row>
    <row r="423" spans="1:45">
      <c r="A423" s="295">
        <v>60</v>
      </c>
      <c r="B423" s="295" t="s">
        <v>410</v>
      </c>
      <c r="C423">
        <v>1405553.74</v>
      </c>
      <c r="D423">
        <v>4537833</v>
      </c>
      <c r="E423" t="s">
        <v>407</v>
      </c>
    </row>
    <row r="424" spans="1:45">
      <c r="A424" s="295">
        <v>70</v>
      </c>
      <c r="B424" s="295" t="s">
        <v>411</v>
      </c>
      <c r="C424">
        <v>270361.41</v>
      </c>
      <c r="D424">
        <v>473934</v>
      </c>
      <c r="E424" t="s">
        <v>407</v>
      </c>
    </row>
    <row r="425" spans="1:45">
      <c r="A425" s="295">
        <v>80</v>
      </c>
      <c r="B425" s="295" t="s">
        <v>412</v>
      </c>
      <c r="C425">
        <v>0</v>
      </c>
      <c r="D425">
        <v>0</v>
      </c>
      <c r="E425" t="s">
        <v>407</v>
      </c>
    </row>
    <row r="426" spans="1:45">
      <c r="A426" s="295">
        <v>90</v>
      </c>
      <c r="B426" s="295" t="s">
        <v>413</v>
      </c>
      <c r="C426">
        <v>142400.19</v>
      </c>
      <c r="D426">
        <v>138610</v>
      </c>
      <c r="E426" t="s">
        <v>407</v>
      </c>
    </row>
    <row r="427" spans="1:45">
      <c r="A427" s="295">
        <v>100</v>
      </c>
      <c r="B427" s="295" t="s">
        <v>414</v>
      </c>
      <c r="C427">
        <v>24823.91</v>
      </c>
      <c r="D427">
        <v>27284</v>
      </c>
      <c r="E427" t="s">
        <v>407</v>
      </c>
    </row>
    <row r="428" spans="1:45">
      <c r="A428" s="295">
        <v>110</v>
      </c>
      <c r="B428" s="295" t="s">
        <v>415</v>
      </c>
      <c r="C428">
        <v>167224.1</v>
      </c>
      <c r="D428">
        <v>165894</v>
      </c>
      <c r="E428" t="s">
        <v>407</v>
      </c>
    </row>
    <row r="429" spans="1:45">
      <c r="A429" s="295">
        <v>120</v>
      </c>
      <c r="B429" s="295" t="s">
        <v>416</v>
      </c>
      <c r="C429">
        <v>103137.31</v>
      </c>
      <c r="D429">
        <v>308040</v>
      </c>
      <c r="E429" t="s">
        <v>407</v>
      </c>
    </row>
    <row r="430" spans="1:45">
      <c r="A430" s="295">
        <v>130</v>
      </c>
      <c r="B430" s="295" t="s">
        <v>417</v>
      </c>
      <c r="C430">
        <v>0</v>
      </c>
      <c r="D430">
        <v>0</v>
      </c>
      <c r="E430" t="s">
        <v>407</v>
      </c>
    </row>
    <row r="431" spans="1:45">
      <c r="A431" s="295">
        <v>135</v>
      </c>
      <c r="B431" s="295" t="s">
        <v>418</v>
      </c>
      <c r="C431">
        <v>-18501</v>
      </c>
      <c r="D431">
        <v>0</v>
      </c>
      <c r="E431" t="s">
        <v>407</v>
      </c>
    </row>
    <row r="432" spans="1:45">
      <c r="A432" s="295">
        <v>140</v>
      </c>
      <c r="B432" s="295" t="s">
        <v>419</v>
      </c>
      <c r="C432">
        <v>2024.7</v>
      </c>
      <c r="D432">
        <v>3168</v>
      </c>
      <c r="E432" t="s">
        <v>407</v>
      </c>
    </row>
    <row r="433" spans="1:45">
      <c r="A433" s="295">
        <v>150</v>
      </c>
      <c r="B433" s="295" t="s">
        <v>420</v>
      </c>
      <c r="C433">
        <v>0</v>
      </c>
      <c r="D433">
        <v>0</v>
      </c>
      <c r="E433" t="s">
        <v>407</v>
      </c>
    </row>
    <row r="434" spans="1:45">
      <c r="A434" s="295">
        <v>155</v>
      </c>
      <c r="B434" s="295" t="s">
        <v>421</v>
      </c>
      <c r="C434">
        <v>0</v>
      </c>
      <c r="D434">
        <v>0</v>
      </c>
      <c r="E434" t="s">
        <v>407</v>
      </c>
    </row>
    <row r="435" spans="1:45">
      <c r="A435" s="295">
        <v>160</v>
      </c>
      <c r="B435" s="295" t="s">
        <v>422</v>
      </c>
      <c r="C435">
        <v>-16476.3</v>
      </c>
      <c r="D435">
        <v>3168</v>
      </c>
      <c r="E435" t="s">
        <v>407</v>
      </c>
    </row>
    <row r="436" spans="1:45">
      <c r="A436" s="295">
        <v>170</v>
      </c>
      <c r="B436" s="295" t="s">
        <v>423</v>
      </c>
      <c r="C436">
        <v>119613.61</v>
      </c>
      <c r="D436">
        <v>304872</v>
      </c>
      <c r="E436" t="s">
        <v>407</v>
      </c>
    </row>
    <row r="437" spans="1:45">
      <c r="A437" s="295">
        <v>180</v>
      </c>
      <c r="B437" s="295" t="s">
        <v>424</v>
      </c>
      <c r="C437">
        <v>0</v>
      </c>
      <c r="D437">
        <v>180424</v>
      </c>
      <c r="E437" t="s">
        <v>407</v>
      </c>
    </row>
    <row r="438" spans="1:45">
      <c r="A438" s="295">
        <v>190</v>
      </c>
      <c r="B438" s="295" t="s">
        <v>425</v>
      </c>
      <c r="C438">
        <v>0</v>
      </c>
      <c r="D438">
        <v>0</v>
      </c>
      <c r="E438" t="s">
        <v>407</v>
      </c>
    </row>
    <row r="439" spans="1:45">
      <c r="A439" s="295">
        <v>200</v>
      </c>
      <c r="B439" s="295" t="s">
        <v>426</v>
      </c>
      <c r="C439">
        <v>119613.61</v>
      </c>
      <c r="D439">
        <v>124448</v>
      </c>
      <c r="E439" t="s">
        <v>407</v>
      </c>
    </row>
    <row r="440" spans="1:45">
      <c r="A440" s="295">
        <v>210</v>
      </c>
      <c r="B440" s="295" t="s">
        <v>427</v>
      </c>
      <c r="C440">
        <v>127961.22</v>
      </c>
      <c r="D440">
        <v>335324</v>
      </c>
      <c r="E440" t="s">
        <v>407</v>
      </c>
    </row>
    <row r="441" spans="1:45">
      <c r="A441" s="295" t="s">
        <v>454</v>
      </c>
      <c r="B441" s="295" t="s">
        <v>402</v>
      </c>
      <c r="C441" t="s">
        <v>403</v>
      </c>
      <c r="D441" t="s">
        <v>437</v>
      </c>
      <c r="E441" t="s">
        <v>405</v>
      </c>
    </row>
    <row r="442" spans="1:45">
      <c r="A442" s="295">
        <v>30</v>
      </c>
      <c r="B442" s="295" t="s">
        <v>406</v>
      </c>
      <c r="C442">
        <v>3842182.04</v>
      </c>
      <c r="D442">
        <v>10082000</v>
      </c>
      <c r="E442" t="s">
        <v>407</v>
      </c>
    </row>
    <row r="443" spans="1:45">
      <c r="A443" s="295">
        <v>40</v>
      </c>
      <c r="B443" s="295" t="s">
        <v>408</v>
      </c>
      <c r="C443">
        <v>0</v>
      </c>
      <c r="D443">
        <v>0</v>
      </c>
      <c r="E443" t="s">
        <v>407</v>
      </c>
    </row>
    <row r="444" spans="1:45">
      <c r="A444" s="295">
        <v>50</v>
      </c>
      <c r="B444" s="295" t="s">
        <v>409</v>
      </c>
      <c r="C444">
        <v>3842182.04</v>
      </c>
      <c r="D444">
        <v>10082000</v>
      </c>
      <c r="E444" t="s">
        <v>407</v>
      </c>
    </row>
    <row r="445" spans="1:45">
      <c r="A445" s="295">
        <v>60</v>
      </c>
      <c r="B445" s="295" t="s">
        <v>410</v>
      </c>
      <c r="C445">
        <v>2018277.94</v>
      </c>
      <c r="D445">
        <v>4935000</v>
      </c>
      <c r="E445" t="s">
        <v>407</v>
      </c>
    </row>
    <row r="446" spans="1:45">
      <c r="A446" s="295">
        <v>70</v>
      </c>
      <c r="B446" s="295" t="s">
        <v>411</v>
      </c>
      <c r="C446">
        <v>1823904.1</v>
      </c>
      <c r="D446">
        <v>5147000</v>
      </c>
      <c r="E446" t="s">
        <v>407</v>
      </c>
    </row>
    <row r="447" spans="1:45">
      <c r="A447" s="295">
        <v>80</v>
      </c>
      <c r="B447" s="295" t="s">
        <v>412</v>
      </c>
      <c r="C447">
        <v>184901.03</v>
      </c>
      <c r="D447">
        <v>441809</v>
      </c>
      <c r="E447" t="s">
        <v>407</v>
      </c>
    </row>
    <row r="448" spans="1:45">
      <c r="A448" s="295">
        <v>90</v>
      </c>
      <c r="B448" s="295" t="s">
        <v>413</v>
      </c>
      <c r="C448">
        <v>384581.22</v>
      </c>
      <c r="D448">
        <v>401000</v>
      </c>
      <c r="E448" t="s">
        <v>407</v>
      </c>
    </row>
    <row r="449" spans="1:45">
      <c r="A449" s="295">
        <v>100</v>
      </c>
      <c r="B449" s="295" t="s">
        <v>414</v>
      </c>
      <c r="C449">
        <v>6229.67</v>
      </c>
      <c r="D449">
        <v>6472</v>
      </c>
      <c r="E449" t="s">
        <v>407</v>
      </c>
    </row>
    <row r="450" spans="1:45">
      <c r="A450" s="295">
        <v>110</v>
      </c>
      <c r="B450" s="295" t="s">
        <v>415</v>
      </c>
      <c r="C450">
        <v>575711.92</v>
      </c>
      <c r="D450">
        <v>849281</v>
      </c>
      <c r="E450" t="s">
        <v>407</v>
      </c>
    </row>
    <row r="451" spans="1:45">
      <c r="A451" s="295">
        <v>120</v>
      </c>
      <c r="B451" s="295" t="s">
        <v>416</v>
      </c>
      <c r="C451">
        <v>1248192.18</v>
      </c>
      <c r="D451">
        <v>4297719</v>
      </c>
      <c r="E451" t="s">
        <v>407</v>
      </c>
    </row>
    <row r="452" spans="1:45">
      <c r="A452" s="295">
        <v>130</v>
      </c>
      <c r="B452" s="295" t="s">
        <v>417</v>
      </c>
      <c r="C452">
        <v>118971.97</v>
      </c>
      <c r="D452">
        <v>-87000</v>
      </c>
      <c r="E452" t="s">
        <v>407</v>
      </c>
    </row>
    <row r="453" spans="1:45">
      <c r="A453" s="295">
        <v>135</v>
      </c>
      <c r="B453" s="295" t="s">
        <v>418</v>
      </c>
      <c r="C453">
        <v>0</v>
      </c>
      <c r="D453">
        <v>0</v>
      </c>
      <c r="E453" t="s">
        <v>407</v>
      </c>
    </row>
    <row r="454" spans="1:45">
      <c r="A454" s="295">
        <v>140</v>
      </c>
      <c r="B454" s="295" t="s">
        <v>419</v>
      </c>
      <c r="C454">
        <v>2841.58</v>
      </c>
      <c r="D454">
        <v>3000</v>
      </c>
      <c r="E454" t="s">
        <v>407</v>
      </c>
    </row>
    <row r="455" spans="1:45">
      <c r="A455" s="295">
        <v>150</v>
      </c>
      <c r="B455" s="295" t="s">
        <v>420</v>
      </c>
      <c r="C455">
        <v>343024.18</v>
      </c>
      <c r="D455">
        <v>495000</v>
      </c>
      <c r="E455" t="s">
        <v>407</v>
      </c>
    </row>
    <row r="456" spans="1:45">
      <c r="A456" s="295">
        <v>155</v>
      </c>
      <c r="B456" s="295" t="s">
        <v>421</v>
      </c>
      <c r="C456">
        <v>0</v>
      </c>
      <c r="D456">
        <v>0</v>
      </c>
      <c r="E456" t="s">
        <v>407</v>
      </c>
    </row>
    <row r="457" spans="1:45">
      <c r="A457" s="295">
        <v>160</v>
      </c>
      <c r="B457" s="295" t="s">
        <v>422</v>
      </c>
      <c r="C457">
        <v>-221210.63</v>
      </c>
      <c r="D457">
        <v>-579000</v>
      </c>
      <c r="E457" t="s">
        <v>407</v>
      </c>
    </row>
    <row r="458" spans="1:45">
      <c r="A458" s="295">
        <v>170</v>
      </c>
      <c r="B458" s="295" t="s">
        <v>423</v>
      </c>
      <c r="C458">
        <v>1469402.81</v>
      </c>
      <c r="D458">
        <v>4876719</v>
      </c>
      <c r="E458" t="s">
        <v>407</v>
      </c>
    </row>
    <row r="459" spans="1:45">
      <c r="A459" s="295">
        <v>180</v>
      </c>
      <c r="B459" s="295" t="s">
        <v>424</v>
      </c>
      <c r="C459">
        <v>0</v>
      </c>
      <c r="D459">
        <v>965150</v>
      </c>
      <c r="E459" t="s">
        <v>407</v>
      </c>
    </row>
    <row r="460" spans="1:45">
      <c r="A460" s="295">
        <v>190</v>
      </c>
      <c r="B460" s="295" t="s">
        <v>425</v>
      </c>
      <c r="C460">
        <v>0</v>
      </c>
      <c r="D460">
        <v>0</v>
      </c>
      <c r="E460" t="s">
        <v>407</v>
      </c>
    </row>
    <row r="461" spans="1:45">
      <c r="A461" s="295">
        <v>200</v>
      </c>
      <c r="B461" s="295" t="s">
        <v>426</v>
      </c>
      <c r="C461">
        <v>1469402.81</v>
      </c>
      <c r="D461">
        <v>3911569</v>
      </c>
      <c r="E461" t="s">
        <v>407</v>
      </c>
    </row>
    <row r="462" spans="1:45">
      <c r="A462" s="295">
        <v>210</v>
      </c>
      <c r="B462" s="295" t="s">
        <v>427</v>
      </c>
      <c r="C462">
        <v>1254421.85</v>
      </c>
      <c r="D462">
        <v>4304191</v>
      </c>
      <c r="E462" t="s">
        <v>407</v>
      </c>
    </row>
    <row r="463" spans="1:45">
      <c r="A463" s="295" t="s">
        <v>455</v>
      </c>
      <c r="B463" s="295" t="s">
        <v>402</v>
      </c>
      <c r="C463" t="s">
        <v>403</v>
      </c>
      <c r="D463" t="s">
        <v>437</v>
      </c>
      <c r="E463" t="s">
        <v>405</v>
      </c>
    </row>
    <row r="464" spans="1:45">
      <c r="A464" s="295">
        <v>30</v>
      </c>
      <c r="B464" s="295" t="s">
        <v>456</v>
      </c>
      <c r="C464">
        <v>271367.95</v>
      </c>
      <c r="D464">
        <v>275842</v>
      </c>
      <c r="E464" t="s">
        <v>407</v>
      </c>
    </row>
    <row r="465" spans="1:45">
      <c r="A465" s="295">
        <v>40</v>
      </c>
      <c r="B465" s="295" t="s">
        <v>457</v>
      </c>
      <c r="C465">
        <v>535.32</v>
      </c>
      <c r="D465">
        <v>0</v>
      </c>
      <c r="E465" t="s">
        <v>407</v>
      </c>
    </row>
    <row r="466" spans="1:45">
      <c r="A466" s="295">
        <v>50</v>
      </c>
      <c r="B466" s="295" t="s">
        <v>458</v>
      </c>
      <c r="C466">
        <v>270832.63</v>
      </c>
      <c r="D466">
        <v>275842</v>
      </c>
      <c r="E466" t="s">
        <v>407</v>
      </c>
    </row>
    <row r="467" spans="1:45">
      <c r="A467" s="295">
        <v>60</v>
      </c>
      <c r="B467" s="295" t="s">
        <v>459</v>
      </c>
      <c r="C467">
        <v>88214.78</v>
      </c>
      <c r="D467">
        <v>91028</v>
      </c>
      <c r="E467" t="s">
        <v>407</v>
      </c>
    </row>
    <row r="468" spans="1:45">
      <c r="A468" s="295">
        <v>65</v>
      </c>
      <c r="B468" s="295" t="s">
        <v>460</v>
      </c>
      <c r="C468">
        <v>0</v>
      </c>
      <c r="D468">
        <v>0</v>
      </c>
      <c r="E468" t="s">
        <v>407</v>
      </c>
    </row>
    <row r="469" spans="1:45">
      <c r="A469" s="295">
        <v>70</v>
      </c>
      <c r="B469" s="295" t="s">
        <v>461</v>
      </c>
      <c r="C469">
        <v>182617.85</v>
      </c>
      <c r="D469">
        <v>184814</v>
      </c>
      <c r="E469" t="s">
        <v>407</v>
      </c>
    </row>
    <row r="470" spans="1:45">
      <c r="A470" s="295">
        <v>80</v>
      </c>
      <c r="B470" s="295" t="s">
        <v>462</v>
      </c>
      <c r="C470">
        <v>170823.27</v>
      </c>
      <c r="D470">
        <v>175359</v>
      </c>
      <c r="E470" t="s">
        <v>407</v>
      </c>
    </row>
    <row r="471" spans="1:45">
      <c r="A471" s="295">
        <v>90</v>
      </c>
      <c r="B471" s="295" t="s">
        <v>463</v>
      </c>
      <c r="C471">
        <v>10533.8</v>
      </c>
      <c r="D471">
        <v>12025</v>
      </c>
      <c r="E471" t="s">
        <v>407</v>
      </c>
    </row>
    <row r="472" spans="1:45">
      <c r="A472" s="295">
        <v>100</v>
      </c>
      <c r="B472" s="295" t="s">
        <v>464</v>
      </c>
      <c r="C472">
        <v>1107.04</v>
      </c>
      <c r="D472">
        <v>1107</v>
      </c>
      <c r="E472" t="s">
        <v>407</v>
      </c>
    </row>
    <row r="473" spans="1:45">
      <c r="A473" s="295">
        <v>110</v>
      </c>
      <c r="B473" s="295" t="s">
        <v>465</v>
      </c>
      <c r="C473">
        <v>182464.11</v>
      </c>
      <c r="D473">
        <v>188491</v>
      </c>
      <c r="E473" t="s">
        <v>407</v>
      </c>
    </row>
    <row r="474" spans="1:45">
      <c r="A474" s="295">
        <v>120</v>
      </c>
      <c r="B474" s="295" t="s">
        <v>466</v>
      </c>
      <c r="C474">
        <v>153.74</v>
      </c>
      <c r="D474">
        <v>-3677</v>
      </c>
      <c r="E474" t="s">
        <v>407</v>
      </c>
    </row>
    <row r="475" spans="1:45">
      <c r="A475" s="295">
        <v>130</v>
      </c>
      <c r="B475" s="295"/>
      <c r="C475">
        <v>0</v>
      </c>
      <c r="D475">
        <v>0</v>
      </c>
      <c r="E475" t="s">
        <v>407</v>
      </c>
    </row>
    <row r="476" spans="1:45">
      <c r="A476" s="295">
        <v>135</v>
      </c>
      <c r="B476" s="295" t="s">
        <v>467</v>
      </c>
      <c r="C476">
        <v>-1865.01</v>
      </c>
      <c r="D476">
        <v>-2786</v>
      </c>
      <c r="E476" t="s">
        <v>407</v>
      </c>
    </row>
    <row r="477" spans="1:45">
      <c r="A477" s="295">
        <v>140</v>
      </c>
      <c r="B477" s="295" t="s">
        <v>468</v>
      </c>
      <c r="C477">
        <v>0</v>
      </c>
      <c r="D477">
        <v>45</v>
      </c>
      <c r="E477" t="s">
        <v>407</v>
      </c>
    </row>
    <row r="478" spans="1:45">
      <c r="A478" s="295">
        <v>150</v>
      </c>
      <c r="B478" s="295" t="s">
        <v>469</v>
      </c>
      <c r="C478">
        <v>0</v>
      </c>
      <c r="D478">
        <v>0</v>
      </c>
      <c r="E478" t="s">
        <v>407</v>
      </c>
    </row>
    <row r="479" spans="1:45">
      <c r="A479" s="295">
        <v>155</v>
      </c>
      <c r="B479" s="295"/>
      <c r="C479">
        <v>0</v>
      </c>
      <c r="D479">
        <v>0</v>
      </c>
      <c r="E479" t="s">
        <v>407</v>
      </c>
    </row>
    <row r="480" spans="1:45">
      <c r="A480" s="295">
        <v>160</v>
      </c>
      <c r="B480" s="295" t="s">
        <v>470</v>
      </c>
      <c r="C480">
        <v>-1865.01</v>
      </c>
      <c r="D480">
        <v>-2741</v>
      </c>
      <c r="E480" t="s">
        <v>407</v>
      </c>
    </row>
    <row r="481" spans="1:45">
      <c r="A481" s="295">
        <v>170</v>
      </c>
      <c r="B481" s="295" t="s">
        <v>471</v>
      </c>
      <c r="C481">
        <v>2018.75</v>
      </c>
      <c r="D481">
        <v>-936</v>
      </c>
      <c r="E481" t="s">
        <v>407</v>
      </c>
    </row>
    <row r="482" spans="1:45">
      <c r="A482" s="295">
        <v>180</v>
      </c>
      <c r="B482" s="295" t="s">
        <v>472</v>
      </c>
      <c r="C482">
        <v>0</v>
      </c>
      <c r="D482">
        <v>0</v>
      </c>
      <c r="E482" t="s">
        <v>407</v>
      </c>
    </row>
    <row r="483" spans="1:45">
      <c r="A483" s="295">
        <v>190</v>
      </c>
      <c r="B483" s="295" t="s">
        <v>473</v>
      </c>
      <c r="C483">
        <v>0</v>
      </c>
      <c r="D483">
        <v>0</v>
      </c>
      <c r="E483" t="s">
        <v>407</v>
      </c>
    </row>
    <row r="484" spans="1:45">
      <c r="A484" s="295">
        <v>200</v>
      </c>
      <c r="B484" s="295" t="s">
        <v>474</v>
      </c>
      <c r="C484">
        <v>2018.75</v>
      </c>
      <c r="D484">
        <v>-936</v>
      </c>
      <c r="E484" t="s">
        <v>407</v>
      </c>
    </row>
    <row r="485" spans="1:45">
      <c r="A485" s="295">
        <v>210</v>
      </c>
      <c r="B485" s="295" t="s">
        <v>475</v>
      </c>
      <c r="C485">
        <v>1260.78</v>
      </c>
      <c r="D485">
        <v>-2570</v>
      </c>
      <c r="E485" t="s">
        <v>407</v>
      </c>
    </row>
    <row r="486" spans="1:45">
      <c r="A486" s="295" t="s">
        <v>476</v>
      </c>
      <c r="B486" s="295" t="s">
        <v>402</v>
      </c>
      <c r="C486" t="s">
        <v>403</v>
      </c>
      <c r="D486" t="s">
        <v>437</v>
      </c>
      <c r="E486" t="s">
        <v>405</v>
      </c>
    </row>
    <row r="487" spans="1:45">
      <c r="A487" s="295">
        <v>30</v>
      </c>
      <c r="B487" s="295" t="s">
        <v>456</v>
      </c>
      <c r="C487">
        <v>566292.16</v>
      </c>
      <c r="D487">
        <v>670162</v>
      </c>
      <c r="E487" t="s">
        <v>407</v>
      </c>
    </row>
    <row r="488" spans="1:45">
      <c r="A488" s="295">
        <v>40</v>
      </c>
      <c r="B488" s="295" t="s">
        <v>457</v>
      </c>
      <c r="C488">
        <v>1214.66</v>
      </c>
      <c r="D488">
        <v>0</v>
      </c>
      <c r="E488" t="s">
        <v>407</v>
      </c>
    </row>
    <row r="489" spans="1:45">
      <c r="A489" s="295">
        <v>50</v>
      </c>
      <c r="B489" s="295" t="s">
        <v>458</v>
      </c>
      <c r="C489">
        <v>565077.5</v>
      </c>
      <c r="D489">
        <v>670162</v>
      </c>
      <c r="E489" t="s">
        <v>407</v>
      </c>
    </row>
    <row r="490" spans="1:45">
      <c r="A490" s="295">
        <v>60</v>
      </c>
      <c r="B490" s="295" t="s">
        <v>459</v>
      </c>
      <c r="C490">
        <v>175811.14</v>
      </c>
      <c r="D490">
        <v>204399</v>
      </c>
      <c r="E490" t="s">
        <v>407</v>
      </c>
    </row>
    <row r="491" spans="1:45">
      <c r="A491" s="295">
        <v>65</v>
      </c>
      <c r="B491" s="295" t="s">
        <v>460</v>
      </c>
      <c r="C491">
        <v>0</v>
      </c>
      <c r="D491">
        <v>0</v>
      </c>
      <c r="E491" t="s">
        <v>407</v>
      </c>
    </row>
    <row r="492" spans="1:45">
      <c r="A492" s="295">
        <v>70</v>
      </c>
      <c r="B492" s="295" t="s">
        <v>461</v>
      </c>
      <c r="C492">
        <v>389266.36</v>
      </c>
      <c r="D492">
        <v>465763</v>
      </c>
      <c r="E492" t="s">
        <v>407</v>
      </c>
    </row>
    <row r="493" spans="1:45">
      <c r="A493" s="295">
        <v>80</v>
      </c>
      <c r="B493" s="295" t="s">
        <v>462</v>
      </c>
      <c r="C493">
        <v>383270.56</v>
      </c>
      <c r="D493">
        <v>416742</v>
      </c>
      <c r="E493" t="s">
        <v>407</v>
      </c>
    </row>
    <row r="494" spans="1:45">
      <c r="A494" s="295">
        <v>90</v>
      </c>
      <c r="B494" s="295" t="s">
        <v>463</v>
      </c>
      <c r="C494">
        <v>16430.62</v>
      </c>
      <c r="D494">
        <v>18809</v>
      </c>
      <c r="E494" t="s">
        <v>407</v>
      </c>
    </row>
    <row r="495" spans="1:45">
      <c r="A495" s="295">
        <v>100</v>
      </c>
      <c r="B495" s="295" t="s">
        <v>464</v>
      </c>
      <c r="C495">
        <v>4079.95</v>
      </c>
      <c r="D495">
        <v>4080</v>
      </c>
      <c r="E495" t="s">
        <v>407</v>
      </c>
    </row>
    <row r="496" spans="1:45">
      <c r="A496" s="295">
        <v>110</v>
      </c>
      <c r="B496" s="295" t="s">
        <v>465</v>
      </c>
      <c r="C496">
        <v>403781.13</v>
      </c>
      <c r="D496">
        <v>439631</v>
      </c>
      <c r="E496" t="s">
        <v>407</v>
      </c>
    </row>
    <row r="497" spans="1:45">
      <c r="A497" s="295">
        <v>120</v>
      </c>
      <c r="B497" s="295" t="s">
        <v>466</v>
      </c>
      <c r="C497">
        <v>-14514.77</v>
      </c>
      <c r="D497">
        <v>26132</v>
      </c>
      <c r="E497" t="s">
        <v>407</v>
      </c>
    </row>
    <row r="498" spans="1:45">
      <c r="A498" s="295">
        <v>130</v>
      </c>
      <c r="B498" s="295"/>
      <c r="C498">
        <v>0</v>
      </c>
      <c r="D498">
        <v>0</v>
      </c>
      <c r="E498" t="s">
        <v>407</v>
      </c>
    </row>
    <row r="499" spans="1:45">
      <c r="A499" s="295">
        <v>135</v>
      </c>
      <c r="B499" s="295" t="s">
        <v>467</v>
      </c>
      <c r="C499">
        <v>-4127.16</v>
      </c>
      <c r="D499">
        <v>-4464</v>
      </c>
      <c r="E499" t="s">
        <v>407</v>
      </c>
    </row>
    <row r="500" spans="1:45">
      <c r="A500" s="295">
        <v>140</v>
      </c>
      <c r="B500" s="295" t="s">
        <v>468</v>
      </c>
      <c r="C500">
        <v>3697.25</v>
      </c>
      <c r="D500">
        <v>172</v>
      </c>
      <c r="E500" t="s">
        <v>407</v>
      </c>
    </row>
    <row r="501" spans="1:45">
      <c r="A501" s="295">
        <v>150</v>
      </c>
      <c r="B501" s="295" t="s">
        <v>469</v>
      </c>
      <c r="C501">
        <v>0</v>
      </c>
      <c r="D501">
        <v>0</v>
      </c>
      <c r="E501" t="s">
        <v>407</v>
      </c>
    </row>
    <row r="502" spans="1:45">
      <c r="A502" s="295">
        <v>155</v>
      </c>
      <c r="B502" s="295"/>
      <c r="C502">
        <v>0</v>
      </c>
      <c r="D502">
        <v>0</v>
      </c>
      <c r="E502" t="s">
        <v>407</v>
      </c>
    </row>
    <row r="503" spans="1:45">
      <c r="A503" s="295">
        <v>160</v>
      </c>
      <c r="B503" s="295" t="s">
        <v>470</v>
      </c>
      <c r="C503">
        <v>-429.91</v>
      </c>
      <c r="D503">
        <v>-4292</v>
      </c>
      <c r="E503" t="s">
        <v>407</v>
      </c>
    </row>
    <row r="504" spans="1:45">
      <c r="A504" s="295">
        <v>170</v>
      </c>
      <c r="B504" s="295" t="s">
        <v>477</v>
      </c>
      <c r="C504">
        <v>-14084.86</v>
      </c>
      <c r="D504">
        <v>30424</v>
      </c>
      <c r="E504" t="s">
        <v>407</v>
      </c>
    </row>
    <row r="505" spans="1:45">
      <c r="A505" s="295">
        <v>180</v>
      </c>
      <c r="B505" s="295" t="s">
        <v>472</v>
      </c>
      <c r="C505">
        <v>0</v>
      </c>
      <c r="D505">
        <v>0</v>
      </c>
      <c r="E505" t="s">
        <v>407</v>
      </c>
    </row>
    <row r="506" spans="1:45">
      <c r="A506" s="295">
        <v>190</v>
      </c>
      <c r="B506" s="295" t="s">
        <v>473</v>
      </c>
      <c r="C506">
        <v>0</v>
      </c>
      <c r="D506">
        <v>0</v>
      </c>
      <c r="E506" t="s">
        <v>407</v>
      </c>
    </row>
    <row r="507" spans="1:45">
      <c r="A507" s="295">
        <v>200</v>
      </c>
      <c r="B507" s="295" t="s">
        <v>474</v>
      </c>
      <c r="C507">
        <v>-14084.86</v>
      </c>
      <c r="D507">
        <v>30424</v>
      </c>
      <c r="E507" t="s">
        <v>407</v>
      </c>
    </row>
    <row r="508" spans="1:45">
      <c r="A508" s="295">
        <v>210</v>
      </c>
      <c r="B508" s="295" t="s">
        <v>475</v>
      </c>
      <c r="C508">
        <v>-10434.82</v>
      </c>
      <c r="D508">
        <v>30212</v>
      </c>
      <c r="E508" t="s">
        <v>407</v>
      </c>
    </row>
    <row r="509" spans="1:45">
      <c r="A509" s="295" t="s">
        <v>478</v>
      </c>
      <c r="B509" s="295" t="s">
        <v>402</v>
      </c>
      <c r="C509" t="s">
        <v>403</v>
      </c>
      <c r="D509" t="s">
        <v>437</v>
      </c>
      <c r="E509" t="s">
        <v>405</v>
      </c>
    </row>
    <row r="510" spans="1:45">
      <c r="A510" s="295">
        <v>30</v>
      </c>
      <c r="B510" s="295" t="s">
        <v>456</v>
      </c>
      <c r="C510">
        <v>52662.11</v>
      </c>
      <c r="D510">
        <v>103315</v>
      </c>
      <c r="E510" t="s">
        <v>407</v>
      </c>
    </row>
    <row r="511" spans="1:45">
      <c r="A511" s="295">
        <v>40</v>
      </c>
      <c r="B511" s="295" t="s">
        <v>457</v>
      </c>
      <c r="C511">
        <v>0</v>
      </c>
      <c r="D511">
        <v>0</v>
      </c>
      <c r="E511" t="s">
        <v>407</v>
      </c>
    </row>
    <row r="512" spans="1:45">
      <c r="A512" s="295">
        <v>50</v>
      </c>
      <c r="B512" s="295" t="s">
        <v>458</v>
      </c>
      <c r="C512">
        <v>52662.11</v>
      </c>
      <c r="D512">
        <v>103315</v>
      </c>
      <c r="E512" t="s">
        <v>407</v>
      </c>
    </row>
    <row r="513" spans="1:45">
      <c r="A513" s="295">
        <v>60</v>
      </c>
      <c r="B513" s="295" t="s">
        <v>459</v>
      </c>
      <c r="C513">
        <v>0</v>
      </c>
      <c r="D513">
        <v>0</v>
      </c>
      <c r="E513" t="s">
        <v>407</v>
      </c>
    </row>
    <row r="514" spans="1:45">
      <c r="A514" s="295">
        <v>70</v>
      </c>
      <c r="B514" s="295" t="s">
        <v>461</v>
      </c>
      <c r="C514">
        <v>52662.11</v>
      </c>
      <c r="D514">
        <v>103315</v>
      </c>
      <c r="E514" t="s">
        <v>407</v>
      </c>
    </row>
    <row r="515" spans="1:45">
      <c r="A515" s="295">
        <v>80</v>
      </c>
      <c r="B515" s="295" t="s">
        <v>462</v>
      </c>
      <c r="C515">
        <v>10895.21</v>
      </c>
      <c r="D515">
        <v>33200</v>
      </c>
      <c r="E515" t="s">
        <v>407</v>
      </c>
    </row>
    <row r="516" spans="1:45">
      <c r="A516" s="295">
        <v>90</v>
      </c>
      <c r="B516" s="295" t="s">
        <v>463</v>
      </c>
      <c r="C516">
        <v>0</v>
      </c>
      <c r="D516">
        <v>0</v>
      </c>
      <c r="E516" t="s">
        <v>407</v>
      </c>
    </row>
    <row r="517" spans="1:45">
      <c r="A517" s="295">
        <v>100</v>
      </c>
      <c r="B517" s="295" t="s">
        <v>464</v>
      </c>
      <c r="C517">
        <v>11894.08</v>
      </c>
      <c r="D517">
        <v>13698</v>
      </c>
      <c r="E517" t="s">
        <v>407</v>
      </c>
    </row>
    <row r="518" spans="1:45">
      <c r="A518" s="295">
        <v>110</v>
      </c>
      <c r="B518" s="295" t="s">
        <v>465</v>
      </c>
      <c r="C518">
        <v>22789.29</v>
      </c>
      <c r="D518">
        <v>46898</v>
      </c>
      <c r="E518" t="s">
        <v>407</v>
      </c>
    </row>
    <row r="519" spans="1:45">
      <c r="A519" s="295">
        <v>120</v>
      </c>
      <c r="B519" s="295" t="s">
        <v>466</v>
      </c>
      <c r="C519">
        <v>29872.82</v>
      </c>
      <c r="D519">
        <v>56417</v>
      </c>
      <c r="E519" t="s">
        <v>407</v>
      </c>
    </row>
    <row r="520" spans="1:45">
      <c r="A520" s="295">
        <v>130</v>
      </c>
      <c r="B520" s="295"/>
      <c r="C520">
        <v>0</v>
      </c>
      <c r="D520">
        <v>0</v>
      </c>
      <c r="E520" t="s">
        <v>407</v>
      </c>
    </row>
    <row r="521" spans="1:45">
      <c r="A521" s="295">
        <v>135</v>
      </c>
      <c r="B521" s="295" t="s">
        <v>467</v>
      </c>
      <c r="C521">
        <v>0</v>
      </c>
      <c r="D521">
        <v>0</v>
      </c>
      <c r="E521" t="s">
        <v>407</v>
      </c>
    </row>
    <row r="522" spans="1:45">
      <c r="A522" s="295">
        <v>140</v>
      </c>
      <c r="B522" s="295" t="s">
        <v>468</v>
      </c>
      <c r="C522">
        <v>18369.62</v>
      </c>
      <c r="D522">
        <v>8700</v>
      </c>
      <c r="E522" t="s">
        <v>407</v>
      </c>
    </row>
    <row r="523" spans="1:45">
      <c r="A523" s="295">
        <v>150</v>
      </c>
      <c r="B523" s="295" t="s">
        <v>469</v>
      </c>
      <c r="C523">
        <v>0</v>
      </c>
      <c r="D523">
        <v>0</v>
      </c>
      <c r="E523" t="s">
        <v>407</v>
      </c>
    </row>
    <row r="524" spans="1:45">
      <c r="A524" s="295">
        <v>155</v>
      </c>
      <c r="B524" s="295"/>
      <c r="C524">
        <v>0</v>
      </c>
      <c r="D524">
        <v>0</v>
      </c>
      <c r="E524" t="s">
        <v>407</v>
      </c>
    </row>
    <row r="525" spans="1:45">
      <c r="A525" s="295">
        <v>160</v>
      </c>
      <c r="B525" s="295" t="s">
        <v>470</v>
      </c>
      <c r="C525">
        <v>18369.62</v>
      </c>
      <c r="D525">
        <v>8700</v>
      </c>
      <c r="E525" t="s">
        <v>407</v>
      </c>
    </row>
    <row r="526" spans="1:45">
      <c r="A526" s="295">
        <v>170</v>
      </c>
      <c r="B526" s="295" t="s">
        <v>479</v>
      </c>
      <c r="C526">
        <v>11503.2</v>
      </c>
      <c r="D526">
        <v>47717</v>
      </c>
      <c r="E526" t="s">
        <v>407</v>
      </c>
    </row>
    <row r="527" spans="1:45">
      <c r="A527" s="295">
        <v>180</v>
      </c>
      <c r="B527" s="295" t="s">
        <v>472</v>
      </c>
      <c r="C527">
        <v>0</v>
      </c>
      <c r="D527">
        <v>0</v>
      </c>
      <c r="E527" t="s">
        <v>407</v>
      </c>
    </row>
    <row r="528" spans="1:45">
      <c r="A528" s="295">
        <v>190</v>
      </c>
      <c r="B528" s="295" t="s">
        <v>473</v>
      </c>
      <c r="C528">
        <v>0</v>
      </c>
      <c r="D528">
        <v>0</v>
      </c>
      <c r="E528" t="s">
        <v>407</v>
      </c>
    </row>
    <row r="529" spans="1:45">
      <c r="A529" s="295">
        <v>200</v>
      </c>
      <c r="B529" s="295" t="s">
        <v>474</v>
      </c>
      <c r="C529">
        <v>11503.2</v>
      </c>
      <c r="D529">
        <v>47717</v>
      </c>
      <c r="E529" t="s">
        <v>407</v>
      </c>
    </row>
    <row r="530" spans="1:45">
      <c r="A530" s="295">
        <v>210</v>
      </c>
      <c r="B530" s="295" t="s">
        <v>475</v>
      </c>
      <c r="C530">
        <v>41766.9</v>
      </c>
      <c r="D530">
        <v>70115</v>
      </c>
      <c r="E530" t="s">
        <v>407</v>
      </c>
    </row>
    <row r="531" spans="1:45">
      <c r="A531" s="295" t="s">
        <v>480</v>
      </c>
      <c r="B531" s="295" t="s">
        <v>402</v>
      </c>
      <c r="C531" t="s">
        <v>403</v>
      </c>
      <c r="D531" t="s">
        <v>437</v>
      </c>
      <c r="E531" t="s">
        <v>405</v>
      </c>
    </row>
    <row r="532" spans="1:45">
      <c r="A532" s="295">
        <v>30</v>
      </c>
      <c r="B532" s="295" t="s">
        <v>456</v>
      </c>
      <c r="C532">
        <v>3648</v>
      </c>
      <c r="D532">
        <v>0</v>
      </c>
      <c r="E532" t="s">
        <v>407</v>
      </c>
    </row>
    <row r="533" spans="1:45">
      <c r="A533" s="295">
        <v>40</v>
      </c>
      <c r="B533" s="295" t="s">
        <v>457</v>
      </c>
      <c r="C533">
        <v>0</v>
      </c>
      <c r="D533">
        <v>0</v>
      </c>
      <c r="E533" t="s">
        <v>407</v>
      </c>
    </row>
    <row r="534" spans="1:45">
      <c r="A534" s="295">
        <v>50</v>
      </c>
      <c r="B534" s="295" t="s">
        <v>458</v>
      </c>
      <c r="C534">
        <v>3648</v>
      </c>
      <c r="D534">
        <v>0</v>
      </c>
      <c r="E534" t="s">
        <v>407</v>
      </c>
    </row>
    <row r="535" spans="1:45">
      <c r="A535" s="295">
        <v>60</v>
      </c>
      <c r="B535" s="295" t="s">
        <v>459</v>
      </c>
      <c r="C535">
        <v>0</v>
      </c>
      <c r="D535">
        <v>0</v>
      </c>
      <c r="E535" t="s">
        <v>407</v>
      </c>
    </row>
    <row r="536" spans="1:45">
      <c r="A536" s="295">
        <v>70</v>
      </c>
      <c r="B536" s="295" t="s">
        <v>461</v>
      </c>
      <c r="C536">
        <v>3648</v>
      </c>
      <c r="D536">
        <v>0</v>
      </c>
      <c r="E536" t="s">
        <v>407</v>
      </c>
    </row>
    <row r="537" spans="1:45">
      <c r="A537" s="295">
        <v>80</v>
      </c>
      <c r="B537" s="295" t="s">
        <v>462</v>
      </c>
      <c r="C537">
        <v>12.79</v>
      </c>
      <c r="D537">
        <v>0</v>
      </c>
      <c r="E537" t="s">
        <v>407</v>
      </c>
    </row>
    <row r="538" spans="1:45">
      <c r="A538" s="295">
        <v>90</v>
      </c>
      <c r="B538" s="295" t="s">
        <v>463</v>
      </c>
      <c r="C538">
        <v>0</v>
      </c>
      <c r="D538">
        <v>0</v>
      </c>
      <c r="E538" t="s">
        <v>407</v>
      </c>
    </row>
    <row r="539" spans="1:45">
      <c r="A539" s="295">
        <v>100</v>
      </c>
      <c r="B539" s="295" t="s">
        <v>464</v>
      </c>
      <c r="C539">
        <v>3786.04</v>
      </c>
      <c r="D539">
        <v>0</v>
      </c>
      <c r="E539" t="s">
        <v>407</v>
      </c>
    </row>
    <row r="540" spans="1:45">
      <c r="A540" s="295">
        <v>110</v>
      </c>
      <c r="B540" s="295" t="s">
        <v>465</v>
      </c>
      <c r="C540">
        <v>3798.83</v>
      </c>
      <c r="D540">
        <v>0</v>
      </c>
      <c r="E540" t="s">
        <v>407</v>
      </c>
    </row>
    <row r="541" spans="1:45">
      <c r="A541" s="295">
        <v>120</v>
      </c>
      <c r="B541" s="295" t="s">
        <v>465</v>
      </c>
      <c r="C541">
        <v>-150.83</v>
      </c>
      <c r="D541">
        <v>0</v>
      </c>
      <c r="E541" t="s">
        <v>407</v>
      </c>
    </row>
    <row r="542" spans="1:45">
      <c r="A542" s="295">
        <v>130</v>
      </c>
      <c r="B542" s="295" t="s">
        <v>417</v>
      </c>
      <c r="C542">
        <v>0</v>
      </c>
      <c r="D542">
        <v>0</v>
      </c>
      <c r="E542" t="s">
        <v>407</v>
      </c>
    </row>
    <row r="543" spans="1:45">
      <c r="A543" s="295">
        <v>135</v>
      </c>
      <c r="B543" s="295" t="s">
        <v>467</v>
      </c>
      <c r="C543">
        <v>0</v>
      </c>
      <c r="D543">
        <v>0</v>
      </c>
      <c r="E543" t="s">
        <v>407</v>
      </c>
    </row>
    <row r="544" spans="1:45">
      <c r="A544" s="295">
        <v>140</v>
      </c>
      <c r="B544" s="295" t="s">
        <v>468</v>
      </c>
      <c r="C544">
        <v>0</v>
      </c>
      <c r="D544">
        <v>0</v>
      </c>
      <c r="E544" t="s">
        <v>407</v>
      </c>
    </row>
    <row r="545" spans="1:45">
      <c r="A545" s="295">
        <v>150</v>
      </c>
      <c r="B545" s="295" t="s">
        <v>469</v>
      </c>
      <c r="C545">
        <v>0</v>
      </c>
      <c r="D545">
        <v>0</v>
      </c>
      <c r="E545" t="s">
        <v>407</v>
      </c>
    </row>
    <row r="546" spans="1:45">
      <c r="A546" s="295">
        <v>155</v>
      </c>
      <c r="B546" s="295" t="s">
        <v>421</v>
      </c>
      <c r="C546">
        <v>0</v>
      </c>
      <c r="D546">
        <v>0</v>
      </c>
      <c r="E546" t="s">
        <v>407</v>
      </c>
    </row>
    <row r="547" spans="1:45">
      <c r="A547" s="295">
        <v>160</v>
      </c>
      <c r="B547" s="295" t="s">
        <v>470</v>
      </c>
      <c r="C547">
        <v>0</v>
      </c>
      <c r="D547">
        <v>0</v>
      </c>
      <c r="E547" t="s">
        <v>407</v>
      </c>
    </row>
    <row r="548" spans="1:45">
      <c r="A548" s="295">
        <v>170</v>
      </c>
      <c r="B548" s="295" t="s">
        <v>481</v>
      </c>
      <c r="C548">
        <v>-150.83</v>
      </c>
      <c r="D548">
        <v>0</v>
      </c>
      <c r="E548" t="s">
        <v>407</v>
      </c>
    </row>
    <row r="549" spans="1:45">
      <c r="A549" s="295">
        <v>180</v>
      </c>
      <c r="B549" s="295" t="s">
        <v>482</v>
      </c>
      <c r="C549">
        <v>0</v>
      </c>
      <c r="D549">
        <v>0</v>
      </c>
      <c r="E549" t="s">
        <v>407</v>
      </c>
    </row>
    <row r="550" spans="1:45">
      <c r="A550" s="295">
        <v>190</v>
      </c>
      <c r="B550" s="295" t="s">
        <v>472</v>
      </c>
      <c r="C550">
        <v>0</v>
      </c>
      <c r="D550">
        <v>0</v>
      </c>
      <c r="E550" t="s">
        <v>407</v>
      </c>
    </row>
    <row r="551" spans="1:45">
      <c r="A551" s="295">
        <v>200</v>
      </c>
      <c r="B551" s="295" t="s">
        <v>474</v>
      </c>
      <c r="C551">
        <v>-150.83</v>
      </c>
      <c r="D551">
        <v>0</v>
      </c>
      <c r="E551" t="s">
        <v>407</v>
      </c>
    </row>
    <row r="552" spans="1:45">
      <c r="A552" s="295">
        <v>210</v>
      </c>
      <c r="B552" s="295" t="s">
        <v>475</v>
      </c>
      <c r="C552">
        <v>3635.21</v>
      </c>
      <c r="D552">
        <v>0</v>
      </c>
      <c r="E552" t="s">
        <v>407</v>
      </c>
    </row>
    <row r="553" spans="1:45">
      <c r="A553" s="295" t="s">
        <v>483</v>
      </c>
      <c r="B553" s="295" t="s">
        <v>402</v>
      </c>
      <c r="C553" t="s">
        <v>403</v>
      </c>
      <c r="D553" t="s">
        <v>437</v>
      </c>
      <c r="E553" t="s">
        <v>405</v>
      </c>
    </row>
    <row r="554" spans="1:45">
      <c r="A554" s="295">
        <v>30</v>
      </c>
      <c r="B554" s="295" t="s">
        <v>456</v>
      </c>
      <c r="C554">
        <v>366013.79</v>
      </c>
      <c r="D554">
        <v>255579</v>
      </c>
      <c r="E554" t="s">
        <v>407</v>
      </c>
    </row>
    <row r="555" spans="1:45">
      <c r="A555" s="295">
        <v>40</v>
      </c>
      <c r="B555" s="295" t="s">
        <v>457</v>
      </c>
      <c r="C555">
        <v>112212.19</v>
      </c>
      <c r="D555">
        <v>0</v>
      </c>
      <c r="E555" t="s">
        <v>407</v>
      </c>
    </row>
    <row r="556" spans="1:45">
      <c r="A556" s="295">
        <v>50</v>
      </c>
      <c r="B556" s="295" t="s">
        <v>458</v>
      </c>
      <c r="C556">
        <v>253801.6</v>
      </c>
      <c r="D556">
        <v>255579</v>
      </c>
      <c r="E556" t="s">
        <v>407</v>
      </c>
    </row>
    <row r="557" spans="1:45">
      <c r="A557" s="295">
        <v>60</v>
      </c>
      <c r="B557" s="295" t="s">
        <v>459</v>
      </c>
      <c r="C557">
        <v>80402.89</v>
      </c>
      <c r="D557">
        <v>79485</v>
      </c>
      <c r="E557" t="s">
        <v>407</v>
      </c>
    </row>
    <row r="558" spans="1:45">
      <c r="A558" s="295">
        <v>65</v>
      </c>
      <c r="B558" s="295" t="s">
        <v>460</v>
      </c>
      <c r="C558">
        <v>0</v>
      </c>
      <c r="D558">
        <v>0</v>
      </c>
      <c r="E558" t="s">
        <v>407</v>
      </c>
    </row>
    <row r="559" spans="1:45">
      <c r="A559" s="295">
        <v>70</v>
      </c>
      <c r="B559" s="295" t="s">
        <v>461</v>
      </c>
      <c r="C559">
        <v>173398.71</v>
      </c>
      <c r="D559">
        <v>176094</v>
      </c>
      <c r="E559" t="s">
        <v>407</v>
      </c>
    </row>
    <row r="560" spans="1:45">
      <c r="A560" s="295">
        <v>80</v>
      </c>
      <c r="B560" s="295" t="s">
        <v>462</v>
      </c>
      <c r="C560">
        <v>156723.12</v>
      </c>
      <c r="D560">
        <v>136595</v>
      </c>
      <c r="E560" t="s">
        <v>407</v>
      </c>
    </row>
    <row r="561" spans="1:45">
      <c r="A561" s="295">
        <v>90</v>
      </c>
      <c r="B561" s="295" t="s">
        <v>463</v>
      </c>
      <c r="C561">
        <v>9922.19</v>
      </c>
      <c r="D561">
        <v>9122</v>
      </c>
      <c r="E561" t="s">
        <v>407</v>
      </c>
    </row>
    <row r="562" spans="1:45">
      <c r="A562" s="295">
        <v>100</v>
      </c>
      <c r="B562" s="295" t="s">
        <v>464</v>
      </c>
      <c r="C562">
        <v>4774.06</v>
      </c>
      <c r="D562">
        <v>2988</v>
      </c>
      <c r="E562" t="s">
        <v>407</v>
      </c>
    </row>
    <row r="563" spans="1:45">
      <c r="A563" s="295">
        <v>110</v>
      </c>
      <c r="B563" s="295" t="s">
        <v>465</v>
      </c>
      <c r="C563">
        <v>171419.37</v>
      </c>
      <c r="D563">
        <v>148705</v>
      </c>
      <c r="E563" t="s">
        <v>407</v>
      </c>
    </row>
    <row r="564" spans="1:45">
      <c r="A564" s="295">
        <v>120</v>
      </c>
      <c r="B564" s="295" t="s">
        <v>466</v>
      </c>
      <c r="C564">
        <v>1979.34</v>
      </c>
      <c r="D564">
        <v>27389</v>
      </c>
      <c r="E564" t="s">
        <v>407</v>
      </c>
    </row>
    <row r="565" spans="1:45">
      <c r="A565" s="295">
        <v>130</v>
      </c>
      <c r="B565" s="295"/>
      <c r="C565">
        <v>0</v>
      </c>
      <c r="D565">
        <v>0</v>
      </c>
      <c r="E565" t="s">
        <v>407</v>
      </c>
    </row>
    <row r="566" spans="1:45">
      <c r="A566" s="295">
        <v>135</v>
      </c>
      <c r="B566" s="295" t="s">
        <v>467</v>
      </c>
      <c r="C566">
        <v>-414.32</v>
      </c>
      <c r="D566">
        <v>-1882</v>
      </c>
      <c r="E566" t="s">
        <v>407</v>
      </c>
    </row>
    <row r="567" spans="1:45">
      <c r="A567" s="295">
        <v>140</v>
      </c>
      <c r="B567" s="295" t="s">
        <v>468</v>
      </c>
      <c r="C567">
        <v>0</v>
      </c>
      <c r="D567">
        <v>25</v>
      </c>
      <c r="E567" t="s">
        <v>407</v>
      </c>
    </row>
    <row r="568" spans="1:45">
      <c r="A568" s="295">
        <v>150</v>
      </c>
      <c r="B568" s="295" t="s">
        <v>469</v>
      </c>
      <c r="C568">
        <v>0</v>
      </c>
      <c r="D568">
        <v>0</v>
      </c>
      <c r="E568" t="s">
        <v>407</v>
      </c>
    </row>
    <row r="569" spans="1:45">
      <c r="A569" s="295">
        <v>155</v>
      </c>
      <c r="B569" s="295"/>
      <c r="C569">
        <v>0</v>
      </c>
      <c r="D569">
        <v>0</v>
      </c>
      <c r="E569" t="s">
        <v>407</v>
      </c>
    </row>
    <row r="570" spans="1:45">
      <c r="A570" s="295">
        <v>160</v>
      </c>
      <c r="B570" s="295" t="s">
        <v>470</v>
      </c>
      <c r="C570">
        <v>-414.32</v>
      </c>
      <c r="D570">
        <v>-1857</v>
      </c>
      <c r="E570" t="s">
        <v>407</v>
      </c>
    </row>
    <row r="571" spans="1:45">
      <c r="A571" s="295">
        <v>170</v>
      </c>
      <c r="B571" s="295" t="s">
        <v>477</v>
      </c>
      <c r="C571">
        <v>2393.66</v>
      </c>
      <c r="D571">
        <v>29246</v>
      </c>
      <c r="E571" t="s">
        <v>407</v>
      </c>
    </row>
    <row r="572" spans="1:45">
      <c r="A572" s="295">
        <v>180</v>
      </c>
      <c r="B572" s="295" t="s">
        <v>472</v>
      </c>
      <c r="C572">
        <v>0</v>
      </c>
      <c r="D572">
        <v>0</v>
      </c>
      <c r="E572" t="s">
        <v>407</v>
      </c>
    </row>
    <row r="573" spans="1:45">
      <c r="A573" s="295">
        <v>190</v>
      </c>
      <c r="B573" s="295" t="s">
        <v>473</v>
      </c>
      <c r="C573">
        <v>0</v>
      </c>
      <c r="D573">
        <v>0</v>
      </c>
      <c r="E573" t="s">
        <v>407</v>
      </c>
    </row>
    <row r="574" spans="1:45">
      <c r="A574" s="295">
        <v>200</v>
      </c>
      <c r="B574" s="295" t="s">
        <v>474</v>
      </c>
      <c r="C574">
        <v>2393.66</v>
      </c>
      <c r="D574">
        <v>29246</v>
      </c>
      <c r="E574" t="s">
        <v>407</v>
      </c>
    </row>
    <row r="575" spans="1:45">
      <c r="A575" s="295">
        <v>210</v>
      </c>
      <c r="B575" s="295" t="s">
        <v>475</v>
      </c>
      <c r="C575">
        <v>6753.4</v>
      </c>
      <c r="D575">
        <v>30377</v>
      </c>
      <c r="E575" t="s">
        <v>407</v>
      </c>
    </row>
    <row r="576" spans="1:45">
      <c r="A576" s="295" t="s">
        <v>484</v>
      </c>
      <c r="B576" s="295" t="s">
        <v>402</v>
      </c>
      <c r="C576" t="s">
        <v>403</v>
      </c>
      <c r="D576" t="s">
        <v>437</v>
      </c>
      <c r="E576" t="s">
        <v>405</v>
      </c>
    </row>
    <row r="577" spans="1:45">
      <c r="A577" s="295">
        <v>30</v>
      </c>
      <c r="B577" s="295" t="s">
        <v>456</v>
      </c>
      <c r="C577">
        <v>43908.36</v>
      </c>
      <c r="D577">
        <v>0</v>
      </c>
      <c r="E577" t="s">
        <v>407</v>
      </c>
    </row>
    <row r="578" spans="1:45">
      <c r="A578" s="295">
        <v>40</v>
      </c>
      <c r="B578" s="295" t="s">
        <v>457</v>
      </c>
      <c r="C578">
        <v>0</v>
      </c>
      <c r="D578">
        <v>0</v>
      </c>
      <c r="E578" t="s">
        <v>407</v>
      </c>
    </row>
    <row r="579" spans="1:45">
      <c r="A579" s="295">
        <v>50</v>
      </c>
      <c r="B579" s="295" t="s">
        <v>458</v>
      </c>
      <c r="C579">
        <v>43908.36</v>
      </c>
      <c r="D579">
        <v>0</v>
      </c>
      <c r="E579" t="s">
        <v>407</v>
      </c>
    </row>
    <row r="580" spans="1:45">
      <c r="A580" s="295">
        <v>60</v>
      </c>
      <c r="B580" s="295" t="s">
        <v>459</v>
      </c>
      <c r="C580">
        <v>0</v>
      </c>
      <c r="D580">
        <v>0</v>
      </c>
      <c r="E580" t="s">
        <v>407</v>
      </c>
    </row>
    <row r="581" spans="1:45">
      <c r="A581" s="295">
        <v>70</v>
      </c>
      <c r="B581" s="295" t="s">
        <v>461</v>
      </c>
      <c r="C581">
        <v>43908.36</v>
      </c>
      <c r="D581">
        <v>0</v>
      </c>
      <c r="E581" t="s">
        <v>407</v>
      </c>
    </row>
    <row r="582" spans="1:45">
      <c r="A582" s="295">
        <v>80</v>
      </c>
      <c r="B582" s="295" t="s">
        <v>462</v>
      </c>
      <c r="C582">
        <v>12603.3</v>
      </c>
      <c r="D582">
        <v>0</v>
      </c>
      <c r="E582" t="s">
        <v>407</v>
      </c>
    </row>
    <row r="583" spans="1:45">
      <c r="A583" s="295">
        <v>90</v>
      </c>
      <c r="B583" s="295" t="s">
        <v>463</v>
      </c>
      <c r="C583">
        <v>0</v>
      </c>
      <c r="D583">
        <v>0</v>
      </c>
      <c r="E583" t="s">
        <v>407</v>
      </c>
    </row>
    <row r="584" spans="1:45">
      <c r="A584" s="295">
        <v>100</v>
      </c>
      <c r="B584" s="295" t="s">
        <v>464</v>
      </c>
      <c r="C584">
        <v>2513.17</v>
      </c>
      <c r="D584">
        <v>0</v>
      </c>
      <c r="E584" t="s">
        <v>407</v>
      </c>
    </row>
    <row r="585" spans="1:45">
      <c r="A585" s="295">
        <v>110</v>
      </c>
      <c r="B585" s="295" t="s">
        <v>465</v>
      </c>
      <c r="C585">
        <v>15116.47</v>
      </c>
      <c r="D585">
        <v>0</v>
      </c>
      <c r="E585" t="s">
        <v>407</v>
      </c>
    </row>
    <row r="586" spans="1:45">
      <c r="A586" s="295">
        <v>120</v>
      </c>
      <c r="B586" s="295" t="s">
        <v>466</v>
      </c>
      <c r="C586">
        <v>28791.89</v>
      </c>
      <c r="D586">
        <v>0</v>
      </c>
      <c r="E586" t="s">
        <v>407</v>
      </c>
    </row>
    <row r="587" spans="1:45">
      <c r="A587" s="295">
        <v>130</v>
      </c>
      <c r="B587" s="295" t="s">
        <v>417</v>
      </c>
      <c r="C587">
        <v>0</v>
      </c>
      <c r="D587">
        <v>0</v>
      </c>
      <c r="E587" t="s">
        <v>407</v>
      </c>
    </row>
    <row r="588" spans="1:45">
      <c r="A588" s="295">
        <v>135</v>
      </c>
      <c r="B588" s="295" t="s">
        <v>467</v>
      </c>
      <c r="C588">
        <v>0</v>
      </c>
      <c r="D588">
        <v>0</v>
      </c>
      <c r="E588" t="s">
        <v>407</v>
      </c>
    </row>
    <row r="589" spans="1:45">
      <c r="A589" s="295">
        <v>140</v>
      </c>
      <c r="B589" s="295" t="s">
        <v>468</v>
      </c>
      <c r="C589">
        <v>3506.79</v>
      </c>
      <c r="D589">
        <v>0</v>
      </c>
      <c r="E589" t="s">
        <v>407</v>
      </c>
    </row>
    <row r="590" spans="1:45">
      <c r="A590" s="295">
        <v>150</v>
      </c>
      <c r="B590" s="295" t="s">
        <v>469</v>
      </c>
      <c r="C590">
        <v>0</v>
      </c>
      <c r="D590">
        <v>0</v>
      </c>
      <c r="E590" t="s">
        <v>407</v>
      </c>
    </row>
    <row r="591" spans="1:45">
      <c r="A591" s="295">
        <v>155</v>
      </c>
      <c r="B591" s="295" t="s">
        <v>421</v>
      </c>
      <c r="C591">
        <v>0</v>
      </c>
      <c r="D591">
        <v>0</v>
      </c>
      <c r="E591" t="s">
        <v>407</v>
      </c>
    </row>
    <row r="592" spans="1:45">
      <c r="A592" s="295">
        <v>160</v>
      </c>
      <c r="B592" s="295" t="s">
        <v>470</v>
      </c>
      <c r="C592">
        <v>3506.79</v>
      </c>
      <c r="D592">
        <v>0</v>
      </c>
      <c r="E592" t="s">
        <v>407</v>
      </c>
    </row>
    <row r="593" spans="1:45">
      <c r="A593" s="295">
        <v>170</v>
      </c>
      <c r="B593" s="295" t="s">
        <v>481</v>
      </c>
      <c r="C593">
        <v>25285.1</v>
      </c>
      <c r="D593">
        <v>0</v>
      </c>
      <c r="E593" t="s">
        <v>407</v>
      </c>
    </row>
    <row r="594" spans="1:45">
      <c r="A594" s="295">
        <v>180</v>
      </c>
      <c r="B594" s="295" t="s">
        <v>482</v>
      </c>
      <c r="C594">
        <v>0</v>
      </c>
      <c r="D594">
        <v>0</v>
      </c>
      <c r="E594" t="s">
        <v>407</v>
      </c>
    </row>
    <row r="595" spans="1:45">
      <c r="A595" s="295">
        <v>190</v>
      </c>
      <c r="B595" s="295" t="s">
        <v>472</v>
      </c>
      <c r="C595">
        <v>0</v>
      </c>
      <c r="D595">
        <v>0</v>
      </c>
      <c r="E595" t="s">
        <v>407</v>
      </c>
    </row>
    <row r="596" spans="1:45">
      <c r="A596" s="295">
        <v>200</v>
      </c>
      <c r="B596" s="295" t="s">
        <v>474</v>
      </c>
      <c r="C596">
        <v>25285.1</v>
      </c>
      <c r="D596">
        <v>0</v>
      </c>
      <c r="E596" t="s">
        <v>407</v>
      </c>
    </row>
    <row r="597" spans="1:45">
      <c r="A597" s="295">
        <v>210</v>
      </c>
      <c r="B597" s="295" t="s">
        <v>475</v>
      </c>
      <c r="C597">
        <v>31305.06</v>
      </c>
      <c r="D597">
        <v>0</v>
      </c>
      <c r="E597" t="s">
        <v>407</v>
      </c>
    </row>
    <row r="598" spans="1:45">
      <c r="A598" s="295" t="s">
        <v>485</v>
      </c>
      <c r="B598" s="295" t="s">
        <v>402</v>
      </c>
      <c r="C598" t="s">
        <v>403</v>
      </c>
      <c r="D598" t="s">
        <v>437</v>
      </c>
      <c r="E598" t="s">
        <v>405</v>
      </c>
    </row>
    <row r="599" spans="1:45">
      <c r="A599" s="295">
        <v>30</v>
      </c>
      <c r="B599" s="295" t="s">
        <v>456</v>
      </c>
      <c r="C599">
        <v>411796.28</v>
      </c>
      <c r="D599">
        <v>349440</v>
      </c>
      <c r="E599" t="s">
        <v>407</v>
      </c>
    </row>
    <row r="600" spans="1:45">
      <c r="A600" s="295">
        <v>40</v>
      </c>
      <c r="B600" s="295" t="s">
        <v>457</v>
      </c>
      <c r="C600">
        <v>93857.47</v>
      </c>
      <c r="D600">
        <v>0</v>
      </c>
      <c r="E600" t="s">
        <v>407</v>
      </c>
    </row>
    <row r="601" spans="1:45">
      <c r="A601" s="295">
        <v>50</v>
      </c>
      <c r="B601" s="295" t="s">
        <v>458</v>
      </c>
      <c r="C601">
        <v>317938.81</v>
      </c>
      <c r="D601">
        <v>349440</v>
      </c>
      <c r="E601" t="s">
        <v>407</v>
      </c>
    </row>
    <row r="602" spans="1:45">
      <c r="A602" s="295">
        <v>60</v>
      </c>
      <c r="B602" s="295" t="s">
        <v>459</v>
      </c>
      <c r="C602">
        <v>92470.75</v>
      </c>
      <c r="D602">
        <v>110074</v>
      </c>
      <c r="E602" t="s">
        <v>407</v>
      </c>
    </row>
    <row r="603" spans="1:45">
      <c r="A603" s="295">
        <v>65</v>
      </c>
      <c r="B603" s="295" t="s">
        <v>460</v>
      </c>
      <c r="C603">
        <v>0</v>
      </c>
      <c r="D603">
        <v>0</v>
      </c>
      <c r="E603" t="s">
        <v>407</v>
      </c>
    </row>
    <row r="604" spans="1:45">
      <c r="A604" s="295">
        <v>70</v>
      </c>
      <c r="B604" s="295" t="s">
        <v>461</v>
      </c>
      <c r="C604">
        <v>225468.06</v>
      </c>
      <c r="D604">
        <v>239366</v>
      </c>
      <c r="E604" t="s">
        <v>407</v>
      </c>
    </row>
    <row r="605" spans="1:45">
      <c r="A605" s="295">
        <v>80</v>
      </c>
      <c r="B605" s="295" t="s">
        <v>462</v>
      </c>
      <c r="C605">
        <v>187089.73</v>
      </c>
      <c r="D605">
        <v>195219</v>
      </c>
      <c r="E605" t="s">
        <v>407</v>
      </c>
    </row>
    <row r="606" spans="1:45">
      <c r="A606" s="295">
        <v>90</v>
      </c>
      <c r="B606" s="295" t="s">
        <v>463</v>
      </c>
      <c r="C606">
        <v>11840.63</v>
      </c>
      <c r="D606">
        <v>13357</v>
      </c>
      <c r="E606" t="s">
        <v>407</v>
      </c>
    </row>
    <row r="607" spans="1:45">
      <c r="A607" s="295">
        <v>100</v>
      </c>
      <c r="B607" s="295" t="s">
        <v>464</v>
      </c>
      <c r="C607">
        <v>5566.67</v>
      </c>
      <c r="D607">
        <v>5119</v>
      </c>
      <c r="E607" t="s">
        <v>407</v>
      </c>
    </row>
    <row r="608" spans="1:45">
      <c r="A608" s="295">
        <v>110</v>
      </c>
      <c r="B608" s="295" t="s">
        <v>465</v>
      </c>
      <c r="C608">
        <v>204497.03</v>
      </c>
      <c r="D608">
        <v>213695</v>
      </c>
      <c r="E608" t="s">
        <v>407</v>
      </c>
    </row>
    <row r="609" spans="1:45">
      <c r="A609" s="295">
        <v>120</v>
      </c>
      <c r="B609" s="295" t="s">
        <v>466</v>
      </c>
      <c r="C609">
        <v>20971.03</v>
      </c>
      <c r="D609">
        <v>25671</v>
      </c>
      <c r="E609" t="s">
        <v>407</v>
      </c>
    </row>
    <row r="610" spans="1:45">
      <c r="A610" s="295">
        <v>130</v>
      </c>
      <c r="B610" s="295"/>
      <c r="C610">
        <v>0</v>
      </c>
      <c r="D610">
        <v>0</v>
      </c>
      <c r="E610" t="s">
        <v>407</v>
      </c>
    </row>
    <row r="611" spans="1:45">
      <c r="A611" s="295">
        <v>135</v>
      </c>
      <c r="B611" s="295" t="s">
        <v>467</v>
      </c>
      <c r="C611">
        <v>12.95</v>
      </c>
      <c r="D611">
        <v>-1308</v>
      </c>
      <c r="E611" t="s">
        <v>407</v>
      </c>
    </row>
    <row r="612" spans="1:45">
      <c r="A612" s="295">
        <v>140</v>
      </c>
      <c r="B612" s="295" t="s">
        <v>468</v>
      </c>
      <c r="C612">
        <v>0</v>
      </c>
      <c r="D612">
        <v>5</v>
      </c>
      <c r="E612" t="s">
        <v>407</v>
      </c>
    </row>
    <row r="613" spans="1:45">
      <c r="A613" s="295">
        <v>150</v>
      </c>
      <c r="B613" s="295" t="s">
        <v>469</v>
      </c>
      <c r="C613">
        <v>0</v>
      </c>
      <c r="D613">
        <v>0</v>
      </c>
      <c r="E613" t="s">
        <v>407</v>
      </c>
    </row>
    <row r="614" spans="1:45">
      <c r="A614" s="295">
        <v>155</v>
      </c>
      <c r="B614" s="295"/>
      <c r="C614">
        <v>0</v>
      </c>
      <c r="D614">
        <v>0</v>
      </c>
      <c r="E614" t="s">
        <v>407</v>
      </c>
    </row>
    <row r="615" spans="1:45">
      <c r="A615" s="295">
        <v>160</v>
      </c>
      <c r="B615" s="295" t="s">
        <v>470</v>
      </c>
      <c r="C615">
        <v>12.95</v>
      </c>
      <c r="D615">
        <v>-1303</v>
      </c>
      <c r="E615" t="s">
        <v>407</v>
      </c>
    </row>
    <row r="616" spans="1:45">
      <c r="A616" s="295">
        <v>170</v>
      </c>
      <c r="B616" s="295" t="s">
        <v>477</v>
      </c>
      <c r="C616">
        <v>20958.08</v>
      </c>
      <c r="D616">
        <v>26974</v>
      </c>
      <c r="E616" t="s">
        <v>407</v>
      </c>
    </row>
    <row r="617" spans="1:45">
      <c r="A617" s="295">
        <v>180</v>
      </c>
      <c r="B617" s="295" t="s">
        <v>472</v>
      </c>
      <c r="C617">
        <v>0</v>
      </c>
      <c r="D617">
        <v>0</v>
      </c>
      <c r="E617" t="s">
        <v>407</v>
      </c>
    </row>
    <row r="618" spans="1:45">
      <c r="A618" s="295">
        <v>190</v>
      </c>
      <c r="B618" s="295" t="s">
        <v>473</v>
      </c>
      <c r="C618">
        <v>0</v>
      </c>
      <c r="D618">
        <v>0</v>
      </c>
      <c r="E618" t="s">
        <v>407</v>
      </c>
    </row>
    <row r="619" spans="1:45">
      <c r="A619" s="295">
        <v>200</v>
      </c>
      <c r="B619" s="295" t="s">
        <v>474</v>
      </c>
      <c r="C619">
        <v>20958.08</v>
      </c>
      <c r="D619">
        <v>26974</v>
      </c>
      <c r="E619" t="s">
        <v>407</v>
      </c>
    </row>
    <row r="620" spans="1:45">
      <c r="A620" s="295">
        <v>210</v>
      </c>
      <c r="B620" s="295" t="s">
        <v>475</v>
      </c>
      <c r="C620">
        <v>26537.7</v>
      </c>
      <c r="D620">
        <v>30790</v>
      </c>
      <c r="E620" t="s">
        <v>407</v>
      </c>
    </row>
    <row r="621" spans="1:45">
      <c r="A621" s="295" t="s">
        <v>486</v>
      </c>
      <c r="B621" s="295" t="s">
        <v>402</v>
      </c>
      <c r="C621" t="s">
        <v>403</v>
      </c>
      <c r="D621" t="s">
        <v>437</v>
      </c>
      <c r="E621" t="s">
        <v>405</v>
      </c>
    </row>
    <row r="622" spans="1:45">
      <c r="A622" s="295">
        <v>30</v>
      </c>
      <c r="B622" s="295" t="s">
        <v>456</v>
      </c>
      <c r="C622">
        <v>18192.18</v>
      </c>
      <c r="D622">
        <v>0</v>
      </c>
      <c r="E622" t="s">
        <v>407</v>
      </c>
    </row>
    <row r="623" spans="1:45">
      <c r="A623" s="295">
        <v>40</v>
      </c>
      <c r="B623" s="295" t="s">
        <v>457</v>
      </c>
      <c r="C623">
        <v>0</v>
      </c>
      <c r="D623">
        <v>0</v>
      </c>
      <c r="E623" t="s">
        <v>407</v>
      </c>
    </row>
    <row r="624" spans="1:45">
      <c r="A624" s="295">
        <v>50</v>
      </c>
      <c r="B624" s="295" t="s">
        <v>458</v>
      </c>
      <c r="C624">
        <v>18192.18</v>
      </c>
      <c r="D624">
        <v>0</v>
      </c>
      <c r="E624" t="s">
        <v>407</v>
      </c>
    </row>
    <row r="625" spans="1:45">
      <c r="A625" s="295">
        <v>60</v>
      </c>
      <c r="B625" s="295" t="s">
        <v>459</v>
      </c>
      <c r="C625">
        <v>0</v>
      </c>
      <c r="D625">
        <v>0</v>
      </c>
      <c r="E625" t="s">
        <v>407</v>
      </c>
    </row>
    <row r="626" spans="1:45">
      <c r="A626" s="295">
        <v>70</v>
      </c>
      <c r="B626" s="295" t="s">
        <v>461</v>
      </c>
      <c r="C626">
        <v>18192.18</v>
      </c>
      <c r="D626">
        <v>0</v>
      </c>
      <c r="E626" t="s">
        <v>407</v>
      </c>
    </row>
    <row r="627" spans="1:45">
      <c r="A627" s="295">
        <v>80</v>
      </c>
      <c r="B627" s="295" t="s">
        <v>462</v>
      </c>
      <c r="C627">
        <v>4639.31</v>
      </c>
      <c r="D627">
        <v>0</v>
      </c>
      <c r="E627" t="s">
        <v>407</v>
      </c>
    </row>
    <row r="628" spans="1:45">
      <c r="A628" s="295">
        <v>90</v>
      </c>
      <c r="B628" s="295" t="s">
        <v>463</v>
      </c>
      <c r="C628">
        <v>0</v>
      </c>
      <c r="D628">
        <v>0</v>
      </c>
      <c r="E628" t="s">
        <v>407</v>
      </c>
    </row>
    <row r="629" spans="1:45">
      <c r="A629" s="295">
        <v>100</v>
      </c>
      <c r="B629" s="295" t="s">
        <v>464</v>
      </c>
      <c r="C629">
        <v>2809.12</v>
      </c>
      <c r="D629">
        <v>0</v>
      </c>
      <c r="E629" t="s">
        <v>407</v>
      </c>
    </row>
    <row r="630" spans="1:45">
      <c r="A630" s="295">
        <v>110</v>
      </c>
      <c r="B630" s="295" t="s">
        <v>465</v>
      </c>
      <c r="C630">
        <v>7448.43</v>
      </c>
      <c r="D630">
        <v>0</v>
      </c>
      <c r="E630" t="s">
        <v>407</v>
      </c>
    </row>
    <row r="631" spans="1:45">
      <c r="A631" s="295">
        <v>120</v>
      </c>
      <c r="B631" s="295" t="s">
        <v>466</v>
      </c>
      <c r="C631">
        <v>10743.75</v>
      </c>
      <c r="D631">
        <v>0</v>
      </c>
      <c r="E631" t="s">
        <v>407</v>
      </c>
    </row>
    <row r="632" spans="1:45">
      <c r="A632" s="295">
        <v>130</v>
      </c>
      <c r="B632" s="295" t="s">
        <v>417</v>
      </c>
      <c r="C632">
        <v>0</v>
      </c>
      <c r="D632">
        <v>0</v>
      </c>
      <c r="E632" t="s">
        <v>407</v>
      </c>
    </row>
    <row r="633" spans="1:45">
      <c r="A633" s="295">
        <v>135</v>
      </c>
      <c r="B633" s="295" t="s">
        <v>467</v>
      </c>
      <c r="C633">
        <v>119.8</v>
      </c>
      <c r="D633">
        <v>0</v>
      </c>
      <c r="E633" t="s">
        <v>407</v>
      </c>
    </row>
    <row r="634" spans="1:45">
      <c r="A634" s="295">
        <v>140</v>
      </c>
      <c r="B634" s="295" t="s">
        <v>468</v>
      </c>
      <c r="C634">
        <v>1905.28</v>
      </c>
      <c r="D634">
        <v>0</v>
      </c>
      <c r="E634" t="s">
        <v>407</v>
      </c>
    </row>
    <row r="635" spans="1:45">
      <c r="A635" s="295">
        <v>150</v>
      </c>
      <c r="B635" s="295" t="s">
        <v>469</v>
      </c>
      <c r="C635">
        <v>0</v>
      </c>
      <c r="D635">
        <v>0</v>
      </c>
      <c r="E635" t="s">
        <v>407</v>
      </c>
    </row>
    <row r="636" spans="1:45">
      <c r="A636" s="295">
        <v>155</v>
      </c>
      <c r="B636" s="295" t="s">
        <v>421</v>
      </c>
      <c r="C636">
        <v>0</v>
      </c>
      <c r="D636">
        <v>0</v>
      </c>
      <c r="E636" t="s">
        <v>407</v>
      </c>
    </row>
    <row r="637" spans="1:45">
      <c r="A637" s="295">
        <v>160</v>
      </c>
      <c r="B637" s="295" t="s">
        <v>470</v>
      </c>
      <c r="C637">
        <v>2025.08</v>
      </c>
      <c r="D637">
        <v>0</v>
      </c>
      <c r="E637" t="s">
        <v>407</v>
      </c>
    </row>
    <row r="638" spans="1:45">
      <c r="A638" s="295">
        <v>170</v>
      </c>
      <c r="B638" s="295" t="s">
        <v>481</v>
      </c>
      <c r="C638">
        <v>8718.67</v>
      </c>
      <c r="D638">
        <v>0</v>
      </c>
      <c r="E638" t="s">
        <v>407</v>
      </c>
    </row>
    <row r="639" spans="1:45">
      <c r="A639" s="295">
        <v>180</v>
      </c>
      <c r="B639" s="295" t="s">
        <v>482</v>
      </c>
      <c r="C639">
        <v>0</v>
      </c>
      <c r="D639">
        <v>0</v>
      </c>
      <c r="E639" t="s">
        <v>407</v>
      </c>
    </row>
    <row r="640" spans="1:45">
      <c r="A640" s="295">
        <v>190</v>
      </c>
      <c r="B640" s="295" t="s">
        <v>472</v>
      </c>
      <c r="C640">
        <v>0</v>
      </c>
      <c r="D640">
        <v>0</v>
      </c>
      <c r="E640" t="s">
        <v>407</v>
      </c>
    </row>
    <row r="641" spans="1:45">
      <c r="A641" s="295">
        <v>200</v>
      </c>
      <c r="B641" s="295" t="s">
        <v>474</v>
      </c>
      <c r="C641">
        <v>8718.67</v>
      </c>
      <c r="D641">
        <v>0</v>
      </c>
      <c r="E641" t="s">
        <v>407</v>
      </c>
    </row>
    <row r="642" spans="1:45">
      <c r="A642" s="295">
        <v>210</v>
      </c>
      <c r="B642" s="295" t="s">
        <v>475</v>
      </c>
      <c r="C642">
        <v>13552.87</v>
      </c>
      <c r="D642">
        <v>0</v>
      </c>
      <c r="E642" t="s">
        <v>407</v>
      </c>
    </row>
    <row r="643" spans="1:45">
      <c r="A643" s="295" t="s">
        <v>487</v>
      </c>
      <c r="B643" s="295" t="s">
        <v>402</v>
      </c>
      <c r="C643" t="s">
        <v>403</v>
      </c>
      <c r="D643" t="s">
        <v>437</v>
      </c>
      <c r="E643" t="s">
        <v>405</v>
      </c>
    </row>
    <row r="644" spans="1:45">
      <c r="A644" s="295">
        <v>30</v>
      </c>
      <c r="B644" s="295" t="s">
        <v>456</v>
      </c>
      <c r="C644">
        <v>4723</v>
      </c>
      <c r="D644">
        <v>0</v>
      </c>
      <c r="E644" t="s">
        <v>407</v>
      </c>
    </row>
    <row r="645" spans="1:45">
      <c r="A645" s="295">
        <v>40</v>
      </c>
      <c r="B645" s="295" t="s">
        <v>457</v>
      </c>
      <c r="C645">
        <v>0</v>
      </c>
      <c r="D645">
        <v>0</v>
      </c>
      <c r="E645" t="s">
        <v>407</v>
      </c>
    </row>
    <row r="646" spans="1:45">
      <c r="A646" s="295">
        <v>50</v>
      </c>
      <c r="B646" s="295" t="s">
        <v>458</v>
      </c>
      <c r="C646">
        <v>4723</v>
      </c>
      <c r="D646">
        <v>0</v>
      </c>
      <c r="E646" t="s">
        <v>407</v>
      </c>
    </row>
    <row r="647" spans="1:45">
      <c r="A647" s="295">
        <v>60</v>
      </c>
      <c r="B647" s="295" t="s">
        <v>459</v>
      </c>
      <c r="C647">
        <v>0</v>
      </c>
      <c r="D647">
        <v>0</v>
      </c>
      <c r="E647" t="s">
        <v>407</v>
      </c>
    </row>
    <row r="648" spans="1:45">
      <c r="A648" s="295">
        <v>70</v>
      </c>
      <c r="B648" s="295" t="s">
        <v>461</v>
      </c>
      <c r="C648">
        <v>4723</v>
      </c>
      <c r="D648">
        <v>0</v>
      </c>
      <c r="E648" t="s">
        <v>407</v>
      </c>
    </row>
    <row r="649" spans="1:45">
      <c r="A649" s="295">
        <v>80</v>
      </c>
      <c r="B649" s="295" t="s">
        <v>462</v>
      </c>
      <c r="C649">
        <v>0</v>
      </c>
      <c r="D649">
        <v>0</v>
      </c>
      <c r="E649" t="s">
        <v>407</v>
      </c>
    </row>
    <row r="650" spans="1:45">
      <c r="A650" s="295">
        <v>90</v>
      </c>
      <c r="B650" s="295" t="s">
        <v>463</v>
      </c>
      <c r="C650">
        <v>23.35</v>
      </c>
      <c r="D650">
        <v>0</v>
      </c>
      <c r="E650" t="s">
        <v>407</v>
      </c>
    </row>
    <row r="651" spans="1:45">
      <c r="A651" s="295">
        <v>100</v>
      </c>
      <c r="B651" s="295" t="s">
        <v>464</v>
      </c>
      <c r="C651">
        <v>0</v>
      </c>
      <c r="D651">
        <v>0</v>
      </c>
      <c r="E651" t="s">
        <v>407</v>
      </c>
    </row>
    <row r="652" spans="1:45">
      <c r="A652" s="295">
        <v>110</v>
      </c>
      <c r="B652" s="295" t="s">
        <v>465</v>
      </c>
      <c r="C652">
        <v>23.35</v>
      </c>
      <c r="D652">
        <v>0</v>
      </c>
      <c r="E652" t="s">
        <v>407</v>
      </c>
    </row>
    <row r="653" spans="1:45">
      <c r="A653" s="295">
        <v>120</v>
      </c>
      <c r="B653" s="295" t="s">
        <v>466</v>
      </c>
      <c r="C653">
        <v>4699.65</v>
      </c>
      <c r="D653">
        <v>0</v>
      </c>
      <c r="E653" t="s">
        <v>407</v>
      </c>
    </row>
    <row r="654" spans="1:45">
      <c r="A654" s="295">
        <v>130</v>
      </c>
      <c r="B654" s="295" t="s">
        <v>417</v>
      </c>
      <c r="C654">
        <v>0</v>
      </c>
      <c r="D654">
        <v>0</v>
      </c>
      <c r="E654" t="s">
        <v>407</v>
      </c>
    </row>
    <row r="655" spans="1:45">
      <c r="A655" s="295">
        <v>135</v>
      </c>
      <c r="B655" s="295" t="s">
        <v>467</v>
      </c>
      <c r="C655">
        <v>0</v>
      </c>
      <c r="D655">
        <v>0</v>
      </c>
      <c r="E655" t="s">
        <v>407</v>
      </c>
    </row>
    <row r="656" spans="1:45">
      <c r="A656" s="295">
        <v>140</v>
      </c>
      <c r="B656" s="295" t="s">
        <v>468</v>
      </c>
      <c r="C656">
        <v>3878.86</v>
      </c>
      <c r="D656">
        <v>0</v>
      </c>
      <c r="E656" t="s">
        <v>407</v>
      </c>
    </row>
    <row r="657" spans="1:45">
      <c r="A657" s="295">
        <v>150</v>
      </c>
      <c r="B657" s="295" t="s">
        <v>469</v>
      </c>
      <c r="C657">
        <v>0</v>
      </c>
      <c r="D657">
        <v>0</v>
      </c>
      <c r="E657" t="s">
        <v>407</v>
      </c>
    </row>
    <row r="658" spans="1:45">
      <c r="A658" s="295">
        <v>155</v>
      </c>
      <c r="B658" s="295" t="s">
        <v>421</v>
      </c>
      <c r="C658">
        <v>0</v>
      </c>
      <c r="D658">
        <v>0</v>
      </c>
      <c r="E658" t="s">
        <v>407</v>
      </c>
    </row>
    <row r="659" spans="1:45">
      <c r="A659" s="295">
        <v>160</v>
      </c>
      <c r="B659" s="295" t="s">
        <v>470</v>
      </c>
      <c r="C659">
        <v>3878.86</v>
      </c>
      <c r="D659">
        <v>0</v>
      </c>
      <c r="E659" t="s">
        <v>407</v>
      </c>
    </row>
    <row r="660" spans="1:45">
      <c r="A660" s="295">
        <v>170</v>
      </c>
      <c r="B660" s="295" t="s">
        <v>481</v>
      </c>
      <c r="C660">
        <v>820.79</v>
      </c>
      <c r="D660">
        <v>0</v>
      </c>
      <c r="E660" t="s">
        <v>407</v>
      </c>
    </row>
    <row r="661" spans="1:45">
      <c r="A661" s="295">
        <v>180</v>
      </c>
      <c r="B661" s="295" t="s">
        <v>482</v>
      </c>
      <c r="C661">
        <v>0</v>
      </c>
      <c r="D661">
        <v>0</v>
      </c>
      <c r="E661" t="s">
        <v>407</v>
      </c>
    </row>
    <row r="662" spans="1:45">
      <c r="A662" s="295">
        <v>190</v>
      </c>
      <c r="B662" s="295" t="s">
        <v>472</v>
      </c>
      <c r="C662">
        <v>0</v>
      </c>
      <c r="D662">
        <v>0</v>
      </c>
      <c r="E662" t="s">
        <v>407</v>
      </c>
    </row>
    <row r="663" spans="1:45">
      <c r="A663" s="295">
        <v>200</v>
      </c>
      <c r="B663" s="295" t="s">
        <v>474</v>
      </c>
      <c r="C663">
        <v>820.79</v>
      </c>
      <c r="D663">
        <v>0</v>
      </c>
      <c r="E663" t="s">
        <v>407</v>
      </c>
    </row>
    <row r="664" spans="1:45">
      <c r="A664" s="295">
        <v>210</v>
      </c>
      <c r="B664" s="295" t="s">
        <v>475</v>
      </c>
      <c r="C664">
        <v>4699.65</v>
      </c>
      <c r="D664">
        <v>0</v>
      </c>
      <c r="E664" t="s">
        <v>407</v>
      </c>
    </row>
    <row r="665" spans="1:45">
      <c r="A665" s="295" t="s">
        <v>488</v>
      </c>
      <c r="B665" s="295" t="s">
        <v>402</v>
      </c>
      <c r="C665" t="s">
        <v>403</v>
      </c>
      <c r="D665" t="s">
        <v>437</v>
      </c>
      <c r="E665" t="s">
        <v>405</v>
      </c>
    </row>
    <row r="666" spans="1:45">
      <c r="A666" s="295">
        <v>30</v>
      </c>
      <c r="B666" s="295" t="s">
        <v>456</v>
      </c>
      <c r="C666">
        <v>0</v>
      </c>
      <c r="D666">
        <v>0</v>
      </c>
      <c r="E666" t="s">
        <v>407</v>
      </c>
    </row>
    <row r="667" spans="1:45">
      <c r="A667" s="295">
        <v>40</v>
      </c>
      <c r="B667" s="295" t="s">
        <v>457</v>
      </c>
      <c r="C667">
        <v>0</v>
      </c>
      <c r="D667">
        <v>0</v>
      </c>
      <c r="E667" t="s">
        <v>407</v>
      </c>
    </row>
    <row r="668" spans="1:45">
      <c r="A668" s="295">
        <v>50</v>
      </c>
      <c r="B668" s="295" t="s">
        <v>458</v>
      </c>
      <c r="C668">
        <v>0</v>
      </c>
      <c r="D668">
        <v>0</v>
      </c>
      <c r="E668" t="s">
        <v>407</v>
      </c>
    </row>
    <row r="669" spans="1:45">
      <c r="A669" s="295">
        <v>60</v>
      </c>
      <c r="B669" s="295" t="s">
        <v>459</v>
      </c>
      <c r="C669">
        <v>0</v>
      </c>
      <c r="D669">
        <v>0</v>
      </c>
      <c r="E669" t="s">
        <v>407</v>
      </c>
    </row>
    <row r="670" spans="1:45">
      <c r="A670" s="295">
        <v>65</v>
      </c>
      <c r="B670" s="295" t="s">
        <v>460</v>
      </c>
      <c r="C670">
        <v>0</v>
      </c>
      <c r="D670">
        <v>0</v>
      </c>
      <c r="E670" t="s">
        <v>407</v>
      </c>
    </row>
    <row r="671" spans="1:45">
      <c r="A671" s="295">
        <v>70</v>
      </c>
      <c r="B671" s="295" t="s">
        <v>461</v>
      </c>
      <c r="C671">
        <v>0</v>
      </c>
      <c r="D671">
        <v>0</v>
      </c>
      <c r="E671" t="s">
        <v>407</v>
      </c>
    </row>
    <row r="672" spans="1:45">
      <c r="A672" s="295">
        <v>80</v>
      </c>
      <c r="B672" s="295" t="s">
        <v>462</v>
      </c>
      <c r="C672">
        <v>0</v>
      </c>
      <c r="D672">
        <v>0</v>
      </c>
      <c r="E672" t="s">
        <v>407</v>
      </c>
    </row>
    <row r="673" spans="1:45">
      <c r="A673" s="295">
        <v>90</v>
      </c>
      <c r="B673" s="295" t="s">
        <v>463</v>
      </c>
      <c r="C673">
        <v>3892.9</v>
      </c>
      <c r="D673">
        <v>0</v>
      </c>
      <c r="E673" t="s">
        <v>407</v>
      </c>
    </row>
    <row r="674" spans="1:45">
      <c r="A674" s="295">
        <v>100</v>
      </c>
      <c r="B674" s="295" t="s">
        <v>464</v>
      </c>
      <c r="C674">
        <v>0</v>
      </c>
      <c r="D674">
        <v>0</v>
      </c>
      <c r="E674" t="s">
        <v>407</v>
      </c>
    </row>
    <row r="675" spans="1:45">
      <c r="A675" s="295">
        <v>110</v>
      </c>
      <c r="B675" s="295" t="s">
        <v>465</v>
      </c>
      <c r="C675">
        <v>3892.9</v>
      </c>
      <c r="D675">
        <v>0</v>
      </c>
      <c r="E675" t="s">
        <v>407</v>
      </c>
    </row>
    <row r="676" spans="1:45">
      <c r="A676" s="295">
        <v>120</v>
      </c>
      <c r="B676" s="295" t="s">
        <v>466</v>
      </c>
      <c r="C676">
        <v>-3892.9</v>
      </c>
      <c r="D676">
        <v>0</v>
      </c>
      <c r="E676" t="s">
        <v>407</v>
      </c>
    </row>
    <row r="677" spans="1:45">
      <c r="A677" s="295">
        <v>130</v>
      </c>
      <c r="B677" s="295"/>
      <c r="C677">
        <v>0</v>
      </c>
      <c r="D677">
        <v>0</v>
      </c>
      <c r="E677" t="s">
        <v>407</v>
      </c>
    </row>
    <row r="678" spans="1:45">
      <c r="A678" s="295">
        <v>135</v>
      </c>
      <c r="B678" s="295" t="s">
        <v>467</v>
      </c>
      <c r="C678">
        <v>-3480.92</v>
      </c>
      <c r="D678">
        <v>0</v>
      </c>
      <c r="E678" t="s">
        <v>407</v>
      </c>
    </row>
    <row r="679" spans="1:45">
      <c r="A679" s="295">
        <v>140</v>
      </c>
      <c r="B679" s="295" t="s">
        <v>468</v>
      </c>
      <c r="C679">
        <v>0</v>
      </c>
      <c r="D679">
        <v>0</v>
      </c>
      <c r="E679" t="s">
        <v>407</v>
      </c>
    </row>
    <row r="680" spans="1:45">
      <c r="A680" s="295">
        <v>150</v>
      </c>
      <c r="B680" s="295" t="s">
        <v>469</v>
      </c>
      <c r="C680">
        <v>0</v>
      </c>
      <c r="D680">
        <v>0</v>
      </c>
      <c r="E680" t="s">
        <v>407</v>
      </c>
    </row>
    <row r="681" spans="1:45">
      <c r="A681" s="295">
        <v>155</v>
      </c>
      <c r="B681" s="295"/>
      <c r="C681">
        <v>0</v>
      </c>
      <c r="D681">
        <v>0</v>
      </c>
      <c r="E681" t="s">
        <v>407</v>
      </c>
    </row>
    <row r="682" spans="1:45">
      <c r="A682" s="295">
        <v>160</v>
      </c>
      <c r="B682" s="295" t="s">
        <v>470</v>
      </c>
      <c r="C682">
        <v>-3480.92</v>
      </c>
      <c r="D682">
        <v>0</v>
      </c>
      <c r="E682" t="s">
        <v>407</v>
      </c>
    </row>
    <row r="683" spans="1:45">
      <c r="A683" s="295">
        <v>170</v>
      </c>
      <c r="B683" s="295" t="s">
        <v>481</v>
      </c>
      <c r="C683">
        <v>-411.98</v>
      </c>
      <c r="D683">
        <v>0</v>
      </c>
      <c r="E683" t="s">
        <v>407</v>
      </c>
    </row>
    <row r="684" spans="1:45">
      <c r="A684" s="295">
        <v>180</v>
      </c>
      <c r="B684" s="295" t="s">
        <v>482</v>
      </c>
      <c r="C684">
        <v>0</v>
      </c>
      <c r="D684">
        <v>0</v>
      </c>
      <c r="E684" t="s">
        <v>407</v>
      </c>
    </row>
    <row r="685" spans="1:45">
      <c r="A685" s="295">
        <v>190</v>
      </c>
      <c r="B685" s="295" t="s">
        <v>472</v>
      </c>
      <c r="C685">
        <v>0</v>
      </c>
      <c r="D685">
        <v>0</v>
      </c>
      <c r="E685" t="s">
        <v>407</v>
      </c>
    </row>
    <row r="686" spans="1:45">
      <c r="A686" s="295">
        <v>200</v>
      </c>
      <c r="B686" s="295" t="s">
        <v>474</v>
      </c>
      <c r="C686">
        <v>-411.98</v>
      </c>
      <c r="D686">
        <v>0</v>
      </c>
      <c r="E686" t="s">
        <v>407</v>
      </c>
    </row>
    <row r="687" spans="1:45">
      <c r="A687" s="295">
        <v>210</v>
      </c>
      <c r="B687" s="295" t="s">
        <v>475</v>
      </c>
      <c r="C687">
        <v>-3892.9</v>
      </c>
      <c r="D687">
        <v>0</v>
      </c>
      <c r="E687" t="s">
        <v>407</v>
      </c>
    </row>
    <row r="688" spans="1:45">
      <c r="A688" s="295"/>
      <c r="B688" s="295"/>
      <c r="C688"/>
      <c r="D688"/>
      <c r="E6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BDER">
    <outlinePr summaryBelow="1" summaryRight="1"/>
  </sheetPr>
  <dimension ref="A1:T688"/>
  <sheetViews>
    <sheetView tabSelected="0" workbookViewId="0" zoomScale="80" zoomScaleNormal="80" showGridLines="true" showRowColHeaders="1">
      <selection activeCell="A1" sqref="A1:T688"/>
    </sheetView>
  </sheetViews>
  <sheetFormatPr defaultRowHeight="14.4" defaultColWidth="8.7265625" outlineLevelRow="0" outlineLevelCol="0"/>
  <cols>
    <col min="1" max="1" width="17" customWidth="true" style="178"/>
    <col min="2" max="2" width="32.453125" customWidth="true" style="178"/>
    <col min="3" max="3" width="8.7265625" style="178"/>
  </cols>
  <sheetData>
    <row r="1" spans="1:20">
      <c r="A1" s="178" t="s">
        <v>401</v>
      </c>
      <c r="B1" s="178" t="s">
        <v>402</v>
      </c>
      <c r="C1" s="178" t="s">
        <v>489</v>
      </c>
      <c r="D1" t="s">
        <v>490</v>
      </c>
      <c r="E1" t="s">
        <v>403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404</v>
      </c>
      <c r="L1" t="s">
        <v>496</v>
      </c>
      <c r="M1" t="s">
        <v>405</v>
      </c>
      <c r="N1"/>
      <c r="O1"/>
      <c r="P1"/>
      <c r="Q1"/>
      <c r="R1"/>
      <c r="S1"/>
      <c r="T1"/>
    </row>
    <row r="2" spans="1:20" customHeight="1" ht="14.5">
      <c r="A2" s="178">
        <v>30</v>
      </c>
      <c r="B2" s="178" t="s">
        <v>406</v>
      </c>
      <c r="C2" s="178">
        <v>29520115.26</v>
      </c>
      <c r="D2">
        <v>29520115.26</v>
      </c>
      <c r="E2">
        <v>25358236.04</v>
      </c>
      <c r="F2">
        <v>1</v>
      </c>
      <c r="G2">
        <v>25358236.04</v>
      </c>
      <c r="H2">
        <v>25358236.04</v>
      </c>
      <c r="I2">
        <v>1</v>
      </c>
      <c r="J2">
        <v>25358236.04</v>
      </c>
      <c r="K2">
        <v>0</v>
      </c>
      <c r="L2">
        <v>0</v>
      </c>
      <c r="M2" t="s">
        <v>497</v>
      </c>
      <c r="N2"/>
      <c r="O2"/>
      <c r="P2"/>
      <c r="Q2"/>
      <c r="R2"/>
      <c r="S2"/>
      <c r="T2"/>
    </row>
    <row r="3" spans="1:20" customHeight="1" ht="14.5">
      <c r="A3" s="178">
        <v>40</v>
      </c>
      <c r="B3" s="178" t="s">
        <v>408</v>
      </c>
      <c r="C3" s="178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 t="s">
        <v>497</v>
      </c>
      <c r="N3"/>
      <c r="O3"/>
      <c r="P3"/>
      <c r="Q3"/>
      <c r="R3"/>
      <c r="S3"/>
      <c r="T3"/>
    </row>
    <row r="4" spans="1:20">
      <c r="A4" s="178">
        <v>50</v>
      </c>
      <c r="B4" s="178" t="s">
        <v>409</v>
      </c>
      <c r="C4" s="178">
        <v>29520115.26</v>
      </c>
      <c r="D4">
        <v>29520115.26</v>
      </c>
      <c r="E4">
        <v>25358236.04</v>
      </c>
      <c r="F4">
        <v>1</v>
      </c>
      <c r="G4">
        <v>25358236.04</v>
      </c>
      <c r="H4">
        <v>25358236.04</v>
      </c>
      <c r="I4">
        <v>1</v>
      </c>
      <c r="J4">
        <v>25358236.04</v>
      </c>
      <c r="K4">
        <v>0</v>
      </c>
      <c r="L4">
        <v>0</v>
      </c>
      <c r="M4" t="s">
        <v>497</v>
      </c>
      <c r="N4"/>
      <c r="O4"/>
      <c r="P4"/>
      <c r="Q4"/>
      <c r="R4"/>
      <c r="S4"/>
      <c r="T4"/>
    </row>
    <row r="5" spans="1:20">
      <c r="A5" s="178">
        <v>60</v>
      </c>
      <c r="B5" s="178" t="s">
        <v>410</v>
      </c>
      <c r="C5" s="178">
        <v>10010619.52</v>
      </c>
      <c r="D5">
        <v>10010619.52</v>
      </c>
      <c r="E5">
        <v>9067281.58</v>
      </c>
      <c r="F5">
        <v>1</v>
      </c>
      <c r="G5">
        <v>9067281.58</v>
      </c>
      <c r="H5">
        <v>9067281.58</v>
      </c>
      <c r="I5">
        <v>1</v>
      </c>
      <c r="J5">
        <v>9067281.58</v>
      </c>
      <c r="K5">
        <v>0</v>
      </c>
      <c r="L5">
        <v>0</v>
      </c>
      <c r="M5" t="s">
        <v>497</v>
      </c>
      <c r="N5"/>
      <c r="O5"/>
      <c r="P5"/>
      <c r="Q5"/>
      <c r="R5"/>
      <c r="S5"/>
      <c r="T5"/>
    </row>
    <row r="6" spans="1:20">
      <c r="A6" s="178">
        <v>70</v>
      </c>
      <c r="B6" s="178" t="s">
        <v>411</v>
      </c>
      <c r="C6" s="178">
        <v>19509495.74</v>
      </c>
      <c r="D6">
        <v>19509495.74</v>
      </c>
      <c r="E6">
        <v>16290954.46</v>
      </c>
      <c r="F6">
        <v>1</v>
      </c>
      <c r="G6">
        <v>16290954.46</v>
      </c>
      <c r="H6">
        <v>16290954.46</v>
      </c>
      <c r="I6">
        <v>1</v>
      </c>
      <c r="J6">
        <v>16290954.46</v>
      </c>
      <c r="K6">
        <v>0</v>
      </c>
      <c r="L6">
        <v>0</v>
      </c>
      <c r="M6" t="s">
        <v>497</v>
      </c>
      <c r="N6"/>
      <c r="O6"/>
      <c r="P6"/>
      <c r="Q6"/>
      <c r="R6"/>
      <c r="S6"/>
      <c r="T6"/>
    </row>
    <row r="7" spans="1:20" customHeight="1" ht="14.5">
      <c r="A7" s="178">
        <v>80</v>
      </c>
      <c r="B7" s="178" t="s">
        <v>412</v>
      </c>
      <c r="C7" s="178">
        <v>11909221.09</v>
      </c>
      <c r="D7">
        <v>11909221.09</v>
      </c>
      <c r="E7">
        <v>11880754.62</v>
      </c>
      <c r="F7">
        <v>1</v>
      </c>
      <c r="G7">
        <v>11880754.62</v>
      </c>
      <c r="H7">
        <v>11880754.62</v>
      </c>
      <c r="I7">
        <v>1</v>
      </c>
      <c r="J7">
        <v>11880754.62</v>
      </c>
      <c r="K7">
        <v>0</v>
      </c>
      <c r="L7">
        <v>0</v>
      </c>
      <c r="M7" t="s">
        <v>497</v>
      </c>
      <c r="N7"/>
      <c r="O7"/>
      <c r="P7"/>
      <c r="Q7"/>
      <c r="R7"/>
      <c r="S7"/>
      <c r="T7"/>
    </row>
    <row r="8" spans="1:20" customHeight="1" ht="14.5">
      <c r="A8" s="178">
        <v>90</v>
      </c>
      <c r="B8" s="178" t="s">
        <v>413</v>
      </c>
      <c r="C8" s="178">
        <v>3264716.18</v>
      </c>
      <c r="D8">
        <v>3264716.18</v>
      </c>
      <c r="E8">
        <v>2832444.64</v>
      </c>
      <c r="F8">
        <v>1</v>
      </c>
      <c r="G8">
        <v>2832444.64</v>
      </c>
      <c r="H8">
        <v>2832444.64</v>
      </c>
      <c r="I8">
        <v>1</v>
      </c>
      <c r="J8">
        <v>2832444.64</v>
      </c>
      <c r="K8">
        <v>0</v>
      </c>
      <c r="L8">
        <v>0</v>
      </c>
      <c r="M8" t="s">
        <v>497</v>
      </c>
      <c r="N8"/>
      <c r="O8"/>
      <c r="P8"/>
      <c r="Q8"/>
      <c r="R8"/>
      <c r="S8"/>
      <c r="T8"/>
    </row>
    <row r="9" spans="1:20" customHeight="1" ht="14.5">
      <c r="A9" s="178">
        <v>100</v>
      </c>
      <c r="B9" s="178" t="s">
        <v>414</v>
      </c>
      <c r="C9" s="178">
        <v>708436.15</v>
      </c>
      <c r="D9">
        <v>708436.15</v>
      </c>
      <c r="E9">
        <v>679514.94</v>
      </c>
      <c r="F9">
        <v>1</v>
      </c>
      <c r="G9">
        <v>679514.94</v>
      </c>
      <c r="H9">
        <v>679514.94</v>
      </c>
      <c r="I9">
        <v>1</v>
      </c>
      <c r="J9">
        <v>679514.94</v>
      </c>
      <c r="K9">
        <v>0</v>
      </c>
      <c r="L9">
        <v>0</v>
      </c>
      <c r="M9" t="s">
        <v>497</v>
      </c>
      <c r="N9"/>
      <c r="O9"/>
      <c r="P9"/>
      <c r="Q9"/>
      <c r="R9"/>
      <c r="S9"/>
      <c r="T9"/>
    </row>
    <row r="10" spans="1:20" customHeight="1" ht="14.5">
      <c r="A10" s="178">
        <v>110</v>
      </c>
      <c r="B10" s="178" t="s">
        <v>415</v>
      </c>
      <c r="C10" s="178">
        <v>15882373.42</v>
      </c>
      <c r="D10">
        <v>15882373.42</v>
      </c>
      <c r="E10">
        <v>15392714.2</v>
      </c>
      <c r="F10">
        <v>1</v>
      </c>
      <c r="G10">
        <v>15392714.2</v>
      </c>
      <c r="H10">
        <v>15392714.2</v>
      </c>
      <c r="I10">
        <v>1</v>
      </c>
      <c r="J10">
        <v>15392714.2</v>
      </c>
      <c r="K10">
        <v>0</v>
      </c>
      <c r="L10">
        <v>0</v>
      </c>
      <c r="M10" t="s">
        <v>497</v>
      </c>
      <c r="N10"/>
      <c r="O10"/>
      <c r="P10"/>
      <c r="Q10"/>
      <c r="R10"/>
      <c r="S10"/>
      <c r="T10"/>
    </row>
    <row r="11" spans="1:20" customHeight="1" ht="14.5">
      <c r="A11" s="178">
        <v>120</v>
      </c>
      <c r="B11" s="178" t="s">
        <v>416</v>
      </c>
      <c r="C11" s="178">
        <v>3627122.32</v>
      </c>
      <c r="D11">
        <v>3627122.32</v>
      </c>
      <c r="E11">
        <v>898240.26</v>
      </c>
      <c r="F11">
        <v>1</v>
      </c>
      <c r="G11">
        <v>898240.26</v>
      </c>
      <c r="H11">
        <v>898240.26</v>
      </c>
      <c r="I11">
        <v>1</v>
      </c>
      <c r="J11">
        <v>898240.26</v>
      </c>
      <c r="K11">
        <v>0</v>
      </c>
      <c r="L11">
        <v>0</v>
      </c>
      <c r="M11" t="s">
        <v>497</v>
      </c>
      <c r="N11"/>
      <c r="O11"/>
      <c r="P11"/>
      <c r="Q11"/>
      <c r="R11"/>
      <c r="S11"/>
      <c r="T11"/>
    </row>
    <row r="12" spans="1:20" customHeight="1" ht="14.5">
      <c r="A12" s="178">
        <v>130</v>
      </c>
      <c r="B12" s="178" t="s">
        <v>417</v>
      </c>
      <c r="C12" s="178">
        <v>26300.68</v>
      </c>
      <c r="D12">
        <v>26300.68</v>
      </c>
      <c r="E12">
        <v>6165.29</v>
      </c>
      <c r="F12">
        <v>1</v>
      </c>
      <c r="G12">
        <v>6165.29</v>
      </c>
      <c r="H12">
        <v>6165.29</v>
      </c>
      <c r="I12">
        <v>1</v>
      </c>
      <c r="J12">
        <v>6165.29</v>
      </c>
      <c r="K12">
        <v>0</v>
      </c>
      <c r="L12">
        <v>0</v>
      </c>
      <c r="M12" t="s">
        <v>497</v>
      </c>
      <c r="N12"/>
      <c r="O12"/>
      <c r="P12"/>
      <c r="Q12"/>
      <c r="R12"/>
      <c r="S12"/>
      <c r="T12"/>
    </row>
    <row r="13" spans="1:20" customHeight="1" ht="14.5">
      <c r="A13" s="178">
        <v>135</v>
      </c>
      <c r="B13" s="178" t="s">
        <v>418</v>
      </c>
      <c r="C13" s="178">
        <v>-263649.8</v>
      </c>
      <c r="D13">
        <v>-263649.8</v>
      </c>
      <c r="E13">
        <v>-150949.64</v>
      </c>
      <c r="F13">
        <v>1</v>
      </c>
      <c r="G13">
        <v>-150949.64</v>
      </c>
      <c r="H13">
        <v>-150949.64</v>
      </c>
      <c r="I13">
        <v>1</v>
      </c>
      <c r="J13">
        <v>-150949.64</v>
      </c>
      <c r="K13">
        <v>0</v>
      </c>
      <c r="L13">
        <v>0</v>
      </c>
      <c r="M13" t="s">
        <v>497</v>
      </c>
      <c r="N13"/>
      <c r="O13"/>
      <c r="P13"/>
      <c r="Q13"/>
      <c r="R13"/>
      <c r="S13"/>
      <c r="T13"/>
    </row>
    <row r="14" spans="1:20" customHeight="1" ht="14.5">
      <c r="A14" s="178">
        <v>140</v>
      </c>
      <c r="B14" s="178" t="s">
        <v>419</v>
      </c>
      <c r="C14" s="178">
        <v>713413.55</v>
      </c>
      <c r="D14">
        <v>713413.55</v>
      </c>
      <c r="E14">
        <v>403046.76</v>
      </c>
      <c r="F14">
        <v>1</v>
      </c>
      <c r="G14">
        <v>403046.76</v>
      </c>
      <c r="H14">
        <v>403046.76</v>
      </c>
      <c r="I14">
        <v>1</v>
      </c>
      <c r="J14">
        <v>403046.76</v>
      </c>
      <c r="K14">
        <v>0</v>
      </c>
      <c r="L14">
        <v>0</v>
      </c>
      <c r="M14" t="s">
        <v>497</v>
      </c>
      <c r="N14"/>
      <c r="O14"/>
      <c r="P14"/>
      <c r="Q14"/>
      <c r="R14"/>
      <c r="S14"/>
      <c r="T14"/>
    </row>
    <row r="15" spans="1:20" customHeight="1" ht="14.5">
      <c r="A15" s="178">
        <v>150</v>
      </c>
      <c r="B15" s="178" t="s">
        <v>420</v>
      </c>
      <c r="C15" s="178">
        <v>18106.25</v>
      </c>
      <c r="D15">
        <v>18106.25</v>
      </c>
      <c r="E15">
        <v>12363.73</v>
      </c>
      <c r="F15">
        <v>1</v>
      </c>
      <c r="G15">
        <v>12363.73</v>
      </c>
      <c r="H15">
        <v>12363.73</v>
      </c>
      <c r="I15">
        <v>1</v>
      </c>
      <c r="J15">
        <v>12363.73</v>
      </c>
      <c r="K15">
        <v>0</v>
      </c>
      <c r="L15">
        <v>0</v>
      </c>
      <c r="M15" t="s">
        <v>497</v>
      </c>
      <c r="N15"/>
      <c r="O15"/>
      <c r="P15"/>
      <c r="Q15"/>
      <c r="R15"/>
      <c r="S15"/>
      <c r="T15"/>
    </row>
    <row r="16" spans="1:20" customHeight="1" ht="14.5">
      <c r="A16" s="178">
        <v>155</v>
      </c>
      <c r="B16" s="178" t="s">
        <v>421</v>
      </c>
      <c r="C16" s="178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497</v>
      </c>
      <c r="N16"/>
      <c r="O16"/>
      <c r="P16"/>
      <c r="Q16"/>
      <c r="R16"/>
      <c r="S16"/>
      <c r="T16"/>
    </row>
    <row r="17" spans="1:20" customHeight="1" ht="14.5">
      <c r="A17" s="178">
        <v>160</v>
      </c>
      <c r="B17" s="178" t="s">
        <v>422</v>
      </c>
      <c r="C17" s="178">
        <v>457958.18</v>
      </c>
      <c r="D17">
        <v>457958.18</v>
      </c>
      <c r="E17">
        <v>245898.68</v>
      </c>
      <c r="F17">
        <v>1</v>
      </c>
      <c r="G17">
        <v>245898.68</v>
      </c>
      <c r="H17">
        <v>245898.68</v>
      </c>
      <c r="I17">
        <v>1</v>
      </c>
      <c r="J17">
        <v>245898.68</v>
      </c>
      <c r="K17">
        <v>0</v>
      </c>
      <c r="L17">
        <v>0</v>
      </c>
      <c r="M17" t="s">
        <v>497</v>
      </c>
      <c r="N17"/>
      <c r="O17"/>
      <c r="P17"/>
      <c r="Q17"/>
      <c r="R17"/>
      <c r="S17"/>
      <c r="T17"/>
    </row>
    <row r="18" spans="1:20" customHeight="1" ht="14.5">
      <c r="A18" s="178">
        <v>170</v>
      </c>
      <c r="B18" s="178" t="s">
        <v>423</v>
      </c>
      <c r="C18" s="178">
        <v>3169164.14</v>
      </c>
      <c r="D18">
        <v>3169164.14</v>
      </c>
      <c r="E18">
        <v>652341.58</v>
      </c>
      <c r="F18">
        <v>1</v>
      </c>
      <c r="G18">
        <v>652341.58</v>
      </c>
      <c r="H18">
        <v>652341.58</v>
      </c>
      <c r="I18">
        <v>1</v>
      </c>
      <c r="J18">
        <v>652341.58</v>
      </c>
      <c r="K18">
        <v>0</v>
      </c>
      <c r="L18">
        <v>0</v>
      </c>
      <c r="M18" t="s">
        <v>497</v>
      </c>
      <c r="N18"/>
      <c r="O18"/>
      <c r="P18"/>
      <c r="Q18"/>
      <c r="R18"/>
      <c r="S18"/>
      <c r="T18"/>
    </row>
    <row r="19" spans="1:20">
      <c r="A19" s="178">
        <v>180</v>
      </c>
      <c r="B19" s="178" t="s">
        <v>424</v>
      </c>
      <c r="C19" s="178">
        <v>697855.26</v>
      </c>
      <c r="D19">
        <v>697855.26</v>
      </c>
      <c r="E19">
        <v>630530.23</v>
      </c>
      <c r="F19">
        <v>1</v>
      </c>
      <c r="G19">
        <v>630530.23</v>
      </c>
      <c r="H19">
        <v>630530.23</v>
      </c>
      <c r="I19">
        <v>1</v>
      </c>
      <c r="J19">
        <v>630530.23</v>
      </c>
      <c r="K19">
        <v>0</v>
      </c>
      <c r="L19">
        <v>0</v>
      </c>
      <c r="M19" t="s">
        <v>497</v>
      </c>
      <c r="N19"/>
      <c r="O19"/>
      <c r="P19"/>
      <c r="Q19"/>
      <c r="R19"/>
      <c r="S19"/>
      <c r="T19"/>
    </row>
    <row r="20" spans="1:20">
      <c r="A20" s="178">
        <v>190</v>
      </c>
      <c r="B20" s="178" t="s">
        <v>425</v>
      </c>
      <c r="C20" s="178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497</v>
      </c>
      <c r="N20"/>
      <c r="O20"/>
      <c r="P20"/>
      <c r="Q20"/>
      <c r="R20"/>
      <c r="S20"/>
      <c r="T20"/>
    </row>
    <row r="21" spans="1:20" customHeight="1" ht="14.5">
      <c r="A21" s="178">
        <v>200</v>
      </c>
      <c r="B21" s="178" t="s">
        <v>426</v>
      </c>
      <c r="C21" s="178">
        <v>2471308.88</v>
      </c>
      <c r="D21">
        <v>2471308.88</v>
      </c>
      <c r="E21">
        <v>21811.35</v>
      </c>
      <c r="F21">
        <v>1</v>
      </c>
      <c r="G21">
        <v>21811.35</v>
      </c>
      <c r="H21">
        <v>21811.35</v>
      </c>
      <c r="I21">
        <v>1</v>
      </c>
      <c r="J21">
        <v>21811.35</v>
      </c>
      <c r="K21">
        <v>0</v>
      </c>
      <c r="L21">
        <v>0</v>
      </c>
      <c r="M21" t="s">
        <v>497</v>
      </c>
      <c r="N21"/>
      <c r="O21"/>
      <c r="P21"/>
      <c r="Q21"/>
      <c r="R21"/>
      <c r="S21"/>
      <c r="T21"/>
    </row>
    <row r="22" spans="1:20" customHeight="1" ht="14.5">
      <c r="A22" s="178">
        <v>210</v>
      </c>
      <c r="B22" s="178" t="s">
        <v>427</v>
      </c>
      <c r="C22" s="178">
        <v>4335558.47</v>
      </c>
      <c r="D22">
        <v>4335558.47</v>
      </c>
      <c r="E22">
        <v>1577755.2</v>
      </c>
      <c r="F22">
        <v>1</v>
      </c>
      <c r="G22">
        <v>1577755.2</v>
      </c>
      <c r="H22">
        <v>1577755.2</v>
      </c>
      <c r="I22">
        <v>1</v>
      </c>
      <c r="J22">
        <v>1577755.2</v>
      </c>
      <c r="K22">
        <v>0</v>
      </c>
      <c r="L22">
        <v>0</v>
      </c>
      <c r="M22" t="s">
        <v>497</v>
      </c>
      <c r="N22"/>
      <c r="O22"/>
      <c r="P22"/>
      <c r="Q22"/>
      <c r="R22"/>
      <c r="S22"/>
      <c r="T22"/>
    </row>
    <row r="23" spans="1:20">
      <c r="A23" s="178" t="s">
        <v>428</v>
      </c>
      <c r="B23" s="178" t="s">
        <v>402</v>
      </c>
      <c r="C23" s="178" t="s">
        <v>489</v>
      </c>
      <c r="D23" t="s">
        <v>490</v>
      </c>
      <c r="E23" t="s">
        <v>403</v>
      </c>
      <c r="F23" t="s">
        <v>498</v>
      </c>
      <c r="G23" t="s">
        <v>492</v>
      </c>
      <c r="H23" t="s">
        <v>499</v>
      </c>
      <c r="I23" t="s">
        <v>500</v>
      </c>
      <c r="J23" t="s">
        <v>501</v>
      </c>
      <c r="K23" t="s">
        <v>429</v>
      </c>
      <c r="L23" t="s">
        <v>502</v>
      </c>
      <c r="M23" t="s">
        <v>405</v>
      </c>
      <c r="N23"/>
      <c r="O23"/>
      <c r="P23"/>
      <c r="Q23"/>
      <c r="R23"/>
      <c r="S23"/>
      <c r="T23"/>
    </row>
    <row r="24" spans="1:20" customHeight="1" ht="14.5">
      <c r="A24" s="178">
        <v>30</v>
      </c>
      <c r="B24" s="178" t="s">
        <v>406</v>
      </c>
      <c r="C24" s="178">
        <v>6267746.32</v>
      </c>
      <c r="D24">
        <v>6267746.32</v>
      </c>
      <c r="E24">
        <v>4549246.33</v>
      </c>
      <c r="F24">
        <v>1</v>
      </c>
      <c r="G24">
        <v>4549246.33</v>
      </c>
      <c r="H24">
        <v>4549246.33</v>
      </c>
      <c r="I24">
        <v>1</v>
      </c>
      <c r="J24">
        <v>4549246.33</v>
      </c>
      <c r="K24">
        <v>0</v>
      </c>
      <c r="L24">
        <v>0</v>
      </c>
      <c r="M24" t="s">
        <v>497</v>
      </c>
      <c r="N24"/>
      <c r="O24"/>
      <c r="P24"/>
      <c r="Q24"/>
      <c r="R24"/>
      <c r="S24"/>
      <c r="T24"/>
    </row>
    <row r="25" spans="1:20" customHeight="1" ht="14.5">
      <c r="A25" s="178">
        <v>40</v>
      </c>
      <c r="B25" s="178" t="s">
        <v>408</v>
      </c>
      <c r="C25" s="178">
        <v>2080</v>
      </c>
      <c r="D25">
        <v>2080</v>
      </c>
      <c r="E25">
        <v>2345.09</v>
      </c>
      <c r="F25">
        <v>1</v>
      </c>
      <c r="G25">
        <v>2345.09</v>
      </c>
      <c r="H25">
        <v>2345.09</v>
      </c>
      <c r="I25">
        <v>1</v>
      </c>
      <c r="J25">
        <v>2345.09</v>
      </c>
      <c r="K25">
        <v>0</v>
      </c>
      <c r="L25">
        <v>0</v>
      </c>
      <c r="M25" t="s">
        <v>497</v>
      </c>
      <c r="N25"/>
      <c r="O25"/>
      <c r="P25"/>
      <c r="Q25"/>
      <c r="R25"/>
      <c r="S25"/>
      <c r="T25"/>
    </row>
    <row r="26" spans="1:20">
      <c r="A26" s="178">
        <v>50</v>
      </c>
      <c r="B26" s="178" t="s">
        <v>409</v>
      </c>
      <c r="C26" s="178">
        <v>6265666.32</v>
      </c>
      <c r="D26">
        <v>6265666.32</v>
      </c>
      <c r="E26">
        <v>4546901.24</v>
      </c>
      <c r="F26">
        <v>1</v>
      </c>
      <c r="G26">
        <v>4546901.24</v>
      </c>
      <c r="H26">
        <v>4546901.24</v>
      </c>
      <c r="I26">
        <v>1</v>
      </c>
      <c r="J26">
        <v>4546901.24</v>
      </c>
      <c r="K26">
        <v>0</v>
      </c>
      <c r="L26">
        <v>0</v>
      </c>
      <c r="M26" t="s">
        <v>497</v>
      </c>
      <c r="N26"/>
      <c r="O26"/>
      <c r="P26"/>
      <c r="Q26"/>
      <c r="R26"/>
      <c r="S26"/>
      <c r="T26"/>
    </row>
    <row r="27" spans="1:20">
      <c r="A27" s="178">
        <v>60</v>
      </c>
      <c r="B27" s="178" t="s">
        <v>410</v>
      </c>
      <c r="C27" s="178">
        <v>3392028.75</v>
      </c>
      <c r="D27">
        <v>3392028.75</v>
      </c>
      <c r="E27">
        <v>2792296.18</v>
      </c>
      <c r="F27">
        <v>1</v>
      </c>
      <c r="G27">
        <v>2792296.18</v>
      </c>
      <c r="H27">
        <v>2792296.18</v>
      </c>
      <c r="I27">
        <v>1</v>
      </c>
      <c r="J27">
        <v>2792296.18</v>
      </c>
      <c r="K27">
        <v>0</v>
      </c>
      <c r="L27">
        <v>0</v>
      </c>
      <c r="M27" t="s">
        <v>497</v>
      </c>
      <c r="N27"/>
      <c r="O27"/>
      <c r="P27"/>
      <c r="Q27"/>
      <c r="R27"/>
      <c r="S27"/>
      <c r="T27"/>
    </row>
    <row r="28" spans="1:20">
      <c r="A28" s="178">
        <v>70</v>
      </c>
      <c r="B28" s="178" t="s">
        <v>411</v>
      </c>
      <c r="C28" s="178">
        <v>2873637.57</v>
      </c>
      <c r="D28">
        <v>2873637.57</v>
      </c>
      <c r="E28">
        <v>1754605.06</v>
      </c>
      <c r="F28">
        <v>1</v>
      </c>
      <c r="G28">
        <v>1754605.06</v>
      </c>
      <c r="H28">
        <v>1754605.06</v>
      </c>
      <c r="I28">
        <v>1</v>
      </c>
      <c r="J28">
        <v>1754605.06</v>
      </c>
      <c r="K28">
        <v>0</v>
      </c>
      <c r="L28">
        <v>0</v>
      </c>
      <c r="M28" t="s">
        <v>497</v>
      </c>
      <c r="N28"/>
      <c r="O28"/>
      <c r="P28"/>
      <c r="Q28"/>
      <c r="R28"/>
      <c r="S28"/>
      <c r="T28"/>
    </row>
    <row r="29" spans="1:20" customHeight="1" ht="14.5">
      <c r="A29" s="178">
        <v>80</v>
      </c>
      <c r="B29" s="178" t="s">
        <v>412</v>
      </c>
      <c r="C29" s="178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497</v>
      </c>
      <c r="N29"/>
      <c r="O29"/>
      <c r="P29"/>
      <c r="Q29"/>
      <c r="R29"/>
      <c r="S29"/>
      <c r="T29"/>
    </row>
    <row r="30" spans="1:20" customHeight="1" ht="14.5">
      <c r="A30" s="178">
        <v>90</v>
      </c>
      <c r="B30" s="178" t="s">
        <v>413</v>
      </c>
      <c r="C30" s="178">
        <v>1410237.4</v>
      </c>
      <c r="D30">
        <v>1410237.4</v>
      </c>
      <c r="E30">
        <v>1316513.42</v>
      </c>
      <c r="F30">
        <v>1</v>
      </c>
      <c r="G30">
        <v>1316513.42</v>
      </c>
      <c r="H30">
        <v>1316513.42</v>
      </c>
      <c r="I30">
        <v>1</v>
      </c>
      <c r="J30">
        <v>1316513.42</v>
      </c>
      <c r="K30">
        <v>0</v>
      </c>
      <c r="L30">
        <v>0</v>
      </c>
      <c r="M30" t="s">
        <v>497</v>
      </c>
      <c r="N30"/>
      <c r="O30"/>
      <c r="P30"/>
      <c r="Q30"/>
      <c r="R30"/>
      <c r="S30"/>
      <c r="T30"/>
    </row>
    <row r="31" spans="1:20" customHeight="1" ht="14.5">
      <c r="A31" s="178">
        <v>100</v>
      </c>
      <c r="B31" s="178" t="s">
        <v>414</v>
      </c>
      <c r="C31" s="178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497</v>
      </c>
      <c r="N31"/>
      <c r="O31"/>
      <c r="P31"/>
      <c r="Q31"/>
      <c r="R31"/>
      <c r="S31"/>
      <c r="T31"/>
    </row>
    <row r="32" spans="1:20" customHeight="1" ht="14.5">
      <c r="A32" s="178">
        <v>110</v>
      </c>
      <c r="B32" s="178" t="s">
        <v>415</v>
      </c>
      <c r="C32" s="178">
        <v>1410237.4</v>
      </c>
      <c r="D32">
        <v>1410237.4</v>
      </c>
      <c r="E32">
        <v>1316513.42</v>
      </c>
      <c r="F32">
        <v>1</v>
      </c>
      <c r="G32">
        <v>1316513.42</v>
      </c>
      <c r="H32">
        <v>1316513.42</v>
      </c>
      <c r="I32">
        <v>1</v>
      </c>
      <c r="J32">
        <v>1316513.42</v>
      </c>
      <c r="K32">
        <v>0</v>
      </c>
      <c r="L32">
        <v>0</v>
      </c>
      <c r="M32" t="s">
        <v>497</v>
      </c>
      <c r="N32"/>
      <c r="O32"/>
      <c r="P32"/>
      <c r="Q32"/>
      <c r="R32"/>
      <c r="S32"/>
      <c r="T32"/>
    </row>
    <row r="33" spans="1:20" customHeight="1" ht="14.5">
      <c r="A33" s="178">
        <v>120</v>
      </c>
      <c r="B33" s="178" t="s">
        <v>416</v>
      </c>
      <c r="C33" s="178">
        <v>1463400.17</v>
      </c>
      <c r="D33">
        <v>1463400.17</v>
      </c>
      <c r="E33">
        <v>438091.64</v>
      </c>
      <c r="F33">
        <v>1</v>
      </c>
      <c r="G33">
        <v>438091.64</v>
      </c>
      <c r="H33">
        <v>438091.64</v>
      </c>
      <c r="I33">
        <v>1</v>
      </c>
      <c r="J33">
        <v>438091.64</v>
      </c>
      <c r="K33">
        <v>0</v>
      </c>
      <c r="L33">
        <v>0</v>
      </c>
      <c r="M33" t="s">
        <v>497</v>
      </c>
      <c r="N33"/>
      <c r="O33"/>
      <c r="P33"/>
      <c r="Q33"/>
      <c r="R33"/>
      <c r="S33"/>
      <c r="T33"/>
    </row>
    <row r="34" spans="1:20" customHeight="1" ht="14.5">
      <c r="A34" s="178">
        <v>130</v>
      </c>
      <c r="B34" s="178" t="s">
        <v>417</v>
      </c>
      <c r="C34" s="178">
        <v>140814.06</v>
      </c>
      <c r="D34">
        <v>140814.06</v>
      </c>
      <c r="E34">
        <v>-8441.32</v>
      </c>
      <c r="F34">
        <v>1</v>
      </c>
      <c r="G34">
        <v>-8441.32</v>
      </c>
      <c r="H34">
        <v>-8441.32</v>
      </c>
      <c r="I34">
        <v>1</v>
      </c>
      <c r="J34">
        <v>-8441.32</v>
      </c>
      <c r="K34">
        <v>0</v>
      </c>
      <c r="L34">
        <v>0</v>
      </c>
      <c r="M34" t="s">
        <v>497</v>
      </c>
      <c r="N34"/>
      <c r="O34"/>
      <c r="P34"/>
      <c r="Q34"/>
      <c r="R34"/>
      <c r="S34"/>
      <c r="T34"/>
    </row>
    <row r="35" spans="1:20" customHeight="1" ht="14.5">
      <c r="A35" s="178">
        <v>135</v>
      </c>
      <c r="B35" s="178" t="s">
        <v>418</v>
      </c>
      <c r="C35" s="178">
        <v>16521.96</v>
      </c>
      <c r="D35">
        <v>16521.96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497</v>
      </c>
      <c r="N35"/>
      <c r="O35"/>
      <c r="P35"/>
      <c r="Q35"/>
      <c r="R35"/>
      <c r="S35"/>
      <c r="T35"/>
    </row>
    <row r="36" spans="1:20" customHeight="1" ht="14.5">
      <c r="A36" s="178">
        <v>140</v>
      </c>
      <c r="B36" s="178" t="s">
        <v>419</v>
      </c>
      <c r="C36" s="178">
        <v>1076.8</v>
      </c>
      <c r="D36">
        <v>1076.8</v>
      </c>
      <c r="E36">
        <v>1881.16</v>
      </c>
      <c r="F36">
        <v>1</v>
      </c>
      <c r="G36">
        <v>1881.16</v>
      </c>
      <c r="H36">
        <v>1881.16</v>
      </c>
      <c r="I36">
        <v>1</v>
      </c>
      <c r="J36">
        <v>1881.16</v>
      </c>
      <c r="K36">
        <v>0</v>
      </c>
      <c r="L36">
        <v>0</v>
      </c>
      <c r="M36" t="s">
        <v>497</v>
      </c>
      <c r="N36"/>
      <c r="O36"/>
      <c r="P36"/>
      <c r="Q36"/>
      <c r="R36"/>
      <c r="S36"/>
      <c r="T36"/>
    </row>
    <row r="37" spans="1:20" customHeight="1" ht="14.5">
      <c r="A37" s="178">
        <v>150</v>
      </c>
      <c r="B37" s="178" t="s">
        <v>420</v>
      </c>
      <c r="C37" s="178">
        <v>8283.99</v>
      </c>
      <c r="D37">
        <v>8283.99</v>
      </c>
      <c r="E37">
        <v>28945.41</v>
      </c>
      <c r="F37">
        <v>1</v>
      </c>
      <c r="G37">
        <v>28945.41</v>
      </c>
      <c r="H37">
        <v>28945.41</v>
      </c>
      <c r="I37">
        <v>1</v>
      </c>
      <c r="J37">
        <v>28945.41</v>
      </c>
      <c r="K37">
        <v>0</v>
      </c>
      <c r="L37">
        <v>0</v>
      </c>
      <c r="M37" t="s">
        <v>497</v>
      </c>
      <c r="N37"/>
      <c r="O37"/>
      <c r="P37"/>
      <c r="Q37"/>
      <c r="R37"/>
      <c r="S37"/>
      <c r="T37"/>
    </row>
    <row r="38" spans="1:20" customHeight="1" ht="14.5">
      <c r="A38" s="178">
        <v>155</v>
      </c>
      <c r="B38" s="178" t="s">
        <v>421</v>
      </c>
      <c r="C38" s="17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497</v>
      </c>
      <c r="N38"/>
      <c r="O38"/>
      <c r="P38"/>
      <c r="Q38"/>
      <c r="R38"/>
      <c r="S38"/>
      <c r="T38"/>
    </row>
    <row r="39" spans="1:20" customHeight="1" ht="14.5">
      <c r="A39" s="178">
        <v>160</v>
      </c>
      <c r="B39" s="178" t="s">
        <v>422</v>
      </c>
      <c r="C39" s="178">
        <v>150128.83</v>
      </c>
      <c r="D39">
        <v>150128.83</v>
      </c>
      <c r="E39">
        <v>-35505.57</v>
      </c>
      <c r="F39">
        <v>1</v>
      </c>
      <c r="G39">
        <v>-35505.57</v>
      </c>
      <c r="H39">
        <v>-35505.57</v>
      </c>
      <c r="I39">
        <v>1</v>
      </c>
      <c r="J39">
        <v>-35505.57</v>
      </c>
      <c r="K39">
        <v>0</v>
      </c>
      <c r="L39">
        <v>0</v>
      </c>
      <c r="M39" t="s">
        <v>497</v>
      </c>
      <c r="N39"/>
      <c r="O39"/>
      <c r="P39"/>
      <c r="Q39"/>
      <c r="R39"/>
      <c r="S39"/>
      <c r="T39"/>
    </row>
    <row r="40" spans="1:20" customHeight="1" ht="14.5">
      <c r="A40" s="178">
        <v>170</v>
      </c>
      <c r="B40" s="178" t="s">
        <v>423</v>
      </c>
      <c r="C40" s="178">
        <v>1313271.34</v>
      </c>
      <c r="D40">
        <v>1313271.34</v>
      </c>
      <c r="E40">
        <v>473597.21</v>
      </c>
      <c r="F40">
        <v>1</v>
      </c>
      <c r="G40">
        <v>473597.21</v>
      </c>
      <c r="H40">
        <v>473597.21</v>
      </c>
      <c r="I40">
        <v>1</v>
      </c>
      <c r="J40">
        <v>473597.21</v>
      </c>
      <c r="K40">
        <v>0</v>
      </c>
      <c r="L40">
        <v>0</v>
      </c>
      <c r="M40" t="s">
        <v>497</v>
      </c>
      <c r="N40"/>
      <c r="O40"/>
      <c r="P40"/>
      <c r="Q40"/>
      <c r="R40"/>
      <c r="S40"/>
      <c r="T40"/>
    </row>
    <row r="41" spans="1:20">
      <c r="A41" s="178">
        <v>180</v>
      </c>
      <c r="B41" s="178" t="s">
        <v>424</v>
      </c>
      <c r="C41" s="178">
        <v>183954</v>
      </c>
      <c r="D41">
        <v>183954</v>
      </c>
      <c r="E41">
        <v>151472</v>
      </c>
      <c r="F41">
        <v>1</v>
      </c>
      <c r="G41">
        <v>151472</v>
      </c>
      <c r="H41">
        <v>151472</v>
      </c>
      <c r="I41">
        <v>1</v>
      </c>
      <c r="J41">
        <v>151472</v>
      </c>
      <c r="K41">
        <v>0</v>
      </c>
      <c r="L41">
        <v>0</v>
      </c>
      <c r="M41" t="s">
        <v>497</v>
      </c>
      <c r="N41"/>
      <c r="O41"/>
      <c r="P41"/>
      <c r="Q41"/>
      <c r="R41"/>
      <c r="S41"/>
      <c r="T41"/>
    </row>
    <row r="42" spans="1:20">
      <c r="A42" s="178">
        <v>190</v>
      </c>
      <c r="B42" s="178" t="s">
        <v>425</v>
      </c>
      <c r="C42" s="178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497</v>
      </c>
      <c r="N42"/>
      <c r="O42"/>
      <c r="P42"/>
      <c r="Q42"/>
      <c r="R42"/>
      <c r="S42"/>
      <c r="T42"/>
    </row>
    <row r="43" spans="1:20" customHeight="1" ht="14.5">
      <c r="A43" s="178">
        <v>200</v>
      </c>
      <c r="B43" s="178" t="s">
        <v>426</v>
      </c>
      <c r="C43" s="178">
        <v>1129317.34</v>
      </c>
      <c r="D43">
        <v>1129317.34</v>
      </c>
      <c r="E43">
        <v>322125.21</v>
      </c>
      <c r="F43">
        <v>1</v>
      </c>
      <c r="G43">
        <v>322125.21</v>
      </c>
      <c r="H43">
        <v>322125.21</v>
      </c>
      <c r="I43">
        <v>1</v>
      </c>
      <c r="J43">
        <v>322125.21</v>
      </c>
      <c r="K43">
        <v>0</v>
      </c>
      <c r="L43">
        <v>0</v>
      </c>
      <c r="M43" t="s">
        <v>497</v>
      </c>
      <c r="N43"/>
      <c r="O43"/>
      <c r="P43"/>
      <c r="Q43"/>
      <c r="R43"/>
      <c r="S43"/>
      <c r="T43"/>
    </row>
    <row r="44" spans="1:20" customHeight="1" ht="14.5">
      <c r="A44" s="178">
        <v>210</v>
      </c>
      <c r="B44" s="178" t="s">
        <v>427</v>
      </c>
      <c r="C44" s="178">
        <v>1463400.17</v>
      </c>
      <c r="D44">
        <v>1463400.17</v>
      </c>
      <c r="E44">
        <v>438091.64</v>
      </c>
      <c r="F44">
        <v>1</v>
      </c>
      <c r="G44">
        <v>438091.64</v>
      </c>
      <c r="H44">
        <v>438091.64</v>
      </c>
      <c r="I44">
        <v>1</v>
      </c>
      <c r="J44">
        <v>438091.64</v>
      </c>
      <c r="K44">
        <v>0</v>
      </c>
      <c r="L44">
        <v>0</v>
      </c>
      <c r="M44" t="s">
        <v>497</v>
      </c>
      <c r="N44"/>
      <c r="O44"/>
      <c r="P44"/>
      <c r="Q44"/>
      <c r="R44"/>
      <c r="S44"/>
      <c r="T44"/>
    </row>
    <row r="45" spans="1:20">
      <c r="A45" s="178" t="s">
        <v>430</v>
      </c>
      <c r="B45" s="178" t="s">
        <v>402</v>
      </c>
      <c r="C45" s="178" t="s">
        <v>489</v>
      </c>
      <c r="D45" t="s">
        <v>490</v>
      </c>
      <c r="E45" t="s">
        <v>403</v>
      </c>
      <c r="F45" t="s">
        <v>503</v>
      </c>
      <c r="G45" t="s">
        <v>492</v>
      </c>
      <c r="H45" t="s">
        <v>504</v>
      </c>
      <c r="I45" t="s">
        <v>505</v>
      </c>
      <c r="J45" t="s">
        <v>506</v>
      </c>
      <c r="K45" t="s">
        <v>431</v>
      </c>
      <c r="L45" t="s">
        <v>507</v>
      </c>
      <c r="M45" t="s">
        <v>405</v>
      </c>
      <c r="N45"/>
      <c r="O45"/>
      <c r="P45"/>
      <c r="Q45"/>
      <c r="R45"/>
      <c r="S45"/>
      <c r="T45"/>
    </row>
    <row r="46" spans="1:20" customHeight="1" ht="14.5">
      <c r="A46" s="178">
        <v>30</v>
      </c>
      <c r="B46" s="178" t="s">
        <v>406</v>
      </c>
      <c r="C46" s="178">
        <v>28088569.6</v>
      </c>
      <c r="D46">
        <v>28088569.6</v>
      </c>
      <c r="E46">
        <v>25408319.05</v>
      </c>
      <c r="F46">
        <v>1</v>
      </c>
      <c r="G46">
        <v>25408319.05</v>
      </c>
      <c r="H46">
        <v>25408319.05</v>
      </c>
      <c r="I46">
        <v>1</v>
      </c>
      <c r="J46">
        <v>25408319.05</v>
      </c>
      <c r="K46">
        <v>0</v>
      </c>
      <c r="L46">
        <v>0</v>
      </c>
      <c r="M46" t="s">
        <v>497</v>
      </c>
      <c r="N46"/>
      <c r="O46"/>
      <c r="P46"/>
      <c r="Q46"/>
      <c r="R46"/>
      <c r="S46"/>
      <c r="T46"/>
    </row>
    <row r="47" spans="1:20" customHeight="1" ht="14.5">
      <c r="A47" s="178">
        <v>40</v>
      </c>
      <c r="B47" s="178" t="s">
        <v>408</v>
      </c>
      <c r="C47" s="178">
        <v>218538.83</v>
      </c>
      <c r="D47">
        <v>218538.83</v>
      </c>
      <c r="E47">
        <v>261148.99</v>
      </c>
      <c r="F47">
        <v>1</v>
      </c>
      <c r="G47">
        <v>261148.99</v>
      </c>
      <c r="H47">
        <v>261148.99</v>
      </c>
      <c r="I47">
        <v>1</v>
      </c>
      <c r="J47">
        <v>261148.99</v>
      </c>
      <c r="K47">
        <v>0</v>
      </c>
      <c r="L47">
        <v>0</v>
      </c>
      <c r="M47" t="s">
        <v>497</v>
      </c>
      <c r="N47"/>
      <c r="O47"/>
      <c r="P47"/>
      <c r="Q47"/>
      <c r="R47"/>
      <c r="S47"/>
      <c r="T47"/>
    </row>
    <row r="48" spans="1:20">
      <c r="A48" s="178">
        <v>50</v>
      </c>
      <c r="B48" s="178" t="s">
        <v>409</v>
      </c>
      <c r="C48" s="178">
        <v>27870030.77</v>
      </c>
      <c r="D48">
        <v>27870030.77</v>
      </c>
      <c r="E48">
        <v>25147170.06</v>
      </c>
      <c r="F48">
        <v>1</v>
      </c>
      <c r="G48">
        <v>25147170.06</v>
      </c>
      <c r="H48">
        <v>25147170.06</v>
      </c>
      <c r="I48">
        <v>1</v>
      </c>
      <c r="J48">
        <v>25147170.06</v>
      </c>
      <c r="K48">
        <v>0</v>
      </c>
      <c r="L48">
        <v>0</v>
      </c>
      <c r="M48" t="s">
        <v>497</v>
      </c>
      <c r="N48"/>
      <c r="O48"/>
      <c r="P48"/>
      <c r="Q48"/>
      <c r="R48"/>
      <c r="S48"/>
      <c r="T48"/>
    </row>
    <row r="49" spans="1:20">
      <c r="A49" s="178">
        <v>60</v>
      </c>
      <c r="B49" s="178" t="s">
        <v>410</v>
      </c>
      <c r="C49" s="178">
        <v>22942538.61</v>
      </c>
      <c r="D49">
        <v>22942538.61</v>
      </c>
      <c r="E49">
        <v>20386123.88</v>
      </c>
      <c r="F49">
        <v>1</v>
      </c>
      <c r="G49">
        <v>20386123.88</v>
      </c>
      <c r="H49">
        <v>20386123.88</v>
      </c>
      <c r="I49">
        <v>1</v>
      </c>
      <c r="J49">
        <v>20386123.88</v>
      </c>
      <c r="K49">
        <v>0</v>
      </c>
      <c r="L49">
        <v>0</v>
      </c>
      <c r="M49" t="s">
        <v>497</v>
      </c>
      <c r="N49"/>
      <c r="O49"/>
      <c r="P49"/>
      <c r="Q49"/>
      <c r="R49"/>
      <c r="S49"/>
      <c r="T49"/>
    </row>
    <row r="50" spans="1:20">
      <c r="A50" s="178">
        <v>70</v>
      </c>
      <c r="B50" s="178" t="s">
        <v>411</v>
      </c>
      <c r="C50" s="178">
        <v>4927492.16</v>
      </c>
      <c r="D50">
        <v>4927492.16</v>
      </c>
      <c r="E50">
        <v>4761046.18</v>
      </c>
      <c r="F50">
        <v>1</v>
      </c>
      <c r="G50">
        <v>4761046.18</v>
      </c>
      <c r="H50">
        <v>4761046.18</v>
      </c>
      <c r="I50">
        <v>1</v>
      </c>
      <c r="J50">
        <v>4761046.18</v>
      </c>
      <c r="K50">
        <v>0</v>
      </c>
      <c r="L50">
        <v>0</v>
      </c>
      <c r="M50" t="s">
        <v>497</v>
      </c>
      <c r="N50"/>
      <c r="O50"/>
      <c r="P50"/>
      <c r="Q50"/>
      <c r="R50"/>
      <c r="S50"/>
      <c r="T50"/>
    </row>
    <row r="51" spans="1:20" customHeight="1" ht="14.5">
      <c r="A51" s="178">
        <v>80</v>
      </c>
      <c r="B51" s="178" t="s">
        <v>412</v>
      </c>
      <c r="C51" s="178">
        <v>2705382.64</v>
      </c>
      <c r="D51">
        <v>2705382.64</v>
      </c>
      <c r="E51">
        <v>2572868.05</v>
      </c>
      <c r="F51">
        <v>1</v>
      </c>
      <c r="G51">
        <v>2572868.05</v>
      </c>
      <c r="H51">
        <v>2572868.05</v>
      </c>
      <c r="I51">
        <v>1</v>
      </c>
      <c r="J51">
        <v>2572868.05</v>
      </c>
      <c r="K51">
        <v>0</v>
      </c>
      <c r="L51">
        <v>0</v>
      </c>
      <c r="M51" t="s">
        <v>497</v>
      </c>
      <c r="N51"/>
      <c r="O51"/>
      <c r="P51"/>
      <c r="Q51"/>
      <c r="R51"/>
      <c r="S51"/>
      <c r="T51"/>
    </row>
    <row r="52" spans="1:20" customHeight="1" ht="14.5">
      <c r="A52" s="178">
        <v>90</v>
      </c>
      <c r="B52" s="178" t="s">
        <v>413</v>
      </c>
      <c r="C52" s="178">
        <v>1099526.89</v>
      </c>
      <c r="D52">
        <v>1099526.89</v>
      </c>
      <c r="E52">
        <v>1052679.85</v>
      </c>
      <c r="F52">
        <v>1</v>
      </c>
      <c r="G52">
        <v>1052679.85</v>
      </c>
      <c r="H52">
        <v>1052679.85</v>
      </c>
      <c r="I52">
        <v>1</v>
      </c>
      <c r="J52">
        <v>1052679.85</v>
      </c>
      <c r="K52">
        <v>0</v>
      </c>
      <c r="L52">
        <v>0</v>
      </c>
      <c r="M52" t="s">
        <v>497</v>
      </c>
      <c r="N52"/>
      <c r="O52"/>
      <c r="P52"/>
      <c r="Q52"/>
      <c r="R52"/>
      <c r="S52"/>
      <c r="T52"/>
    </row>
    <row r="53" spans="1:20" customHeight="1" ht="14.5">
      <c r="A53" s="178">
        <v>100</v>
      </c>
      <c r="B53" s="178" t="s">
        <v>414</v>
      </c>
      <c r="C53" s="178">
        <v>110029.08</v>
      </c>
      <c r="D53">
        <v>110029.08</v>
      </c>
      <c r="E53">
        <v>110029.08</v>
      </c>
      <c r="F53">
        <v>1</v>
      </c>
      <c r="G53">
        <v>110029.08</v>
      </c>
      <c r="H53">
        <v>110029.08</v>
      </c>
      <c r="I53">
        <v>1</v>
      </c>
      <c r="J53">
        <v>110029.08</v>
      </c>
      <c r="K53">
        <v>0</v>
      </c>
      <c r="L53">
        <v>0</v>
      </c>
      <c r="M53" t="s">
        <v>497</v>
      </c>
      <c r="N53"/>
      <c r="O53"/>
      <c r="P53"/>
      <c r="Q53"/>
      <c r="R53"/>
      <c r="S53"/>
      <c r="T53"/>
    </row>
    <row r="54" spans="1:20" customHeight="1" ht="14.5">
      <c r="A54" s="178">
        <v>110</v>
      </c>
      <c r="B54" s="178" t="s">
        <v>415</v>
      </c>
      <c r="C54" s="178">
        <v>3914938.61</v>
      </c>
      <c r="D54">
        <v>3914938.61</v>
      </c>
      <c r="E54">
        <v>3735576.98</v>
      </c>
      <c r="F54">
        <v>1</v>
      </c>
      <c r="G54">
        <v>3735576.98</v>
      </c>
      <c r="H54">
        <v>3735576.98</v>
      </c>
      <c r="I54">
        <v>1</v>
      </c>
      <c r="J54">
        <v>3735576.98</v>
      </c>
      <c r="K54">
        <v>0</v>
      </c>
      <c r="L54">
        <v>0</v>
      </c>
      <c r="M54" t="s">
        <v>497</v>
      </c>
      <c r="N54"/>
      <c r="O54"/>
      <c r="P54"/>
      <c r="Q54"/>
      <c r="R54"/>
      <c r="S54"/>
      <c r="T54"/>
    </row>
    <row r="55" spans="1:20" customHeight="1" ht="14.5">
      <c r="A55" s="178">
        <v>120</v>
      </c>
      <c r="B55" s="178" t="s">
        <v>416</v>
      </c>
      <c r="C55" s="178">
        <v>1012553.55</v>
      </c>
      <c r="D55">
        <v>1012553.55</v>
      </c>
      <c r="E55">
        <v>1025469.2</v>
      </c>
      <c r="F55">
        <v>1</v>
      </c>
      <c r="G55">
        <v>1025469.2</v>
      </c>
      <c r="H55">
        <v>1025469.2</v>
      </c>
      <c r="I55">
        <v>1</v>
      </c>
      <c r="J55">
        <v>1025469.2</v>
      </c>
      <c r="K55">
        <v>0</v>
      </c>
      <c r="L55">
        <v>0</v>
      </c>
      <c r="M55" t="s">
        <v>497</v>
      </c>
      <c r="N55"/>
      <c r="O55"/>
      <c r="P55"/>
      <c r="Q55"/>
      <c r="R55"/>
      <c r="S55"/>
      <c r="T55"/>
    </row>
    <row r="56" spans="1:20" customHeight="1" ht="14.5">
      <c r="A56" s="178">
        <v>130</v>
      </c>
      <c r="B56" s="178" t="s">
        <v>417</v>
      </c>
      <c r="C56" s="178">
        <v>1519.42</v>
      </c>
      <c r="D56">
        <v>1519.42</v>
      </c>
      <c r="E56">
        <v>-92354.57</v>
      </c>
      <c r="F56">
        <v>1</v>
      </c>
      <c r="G56">
        <v>-92354.57</v>
      </c>
      <c r="H56">
        <v>-92354.57</v>
      </c>
      <c r="I56">
        <v>1</v>
      </c>
      <c r="J56">
        <v>-92354.57</v>
      </c>
      <c r="K56">
        <v>0</v>
      </c>
      <c r="L56">
        <v>0</v>
      </c>
      <c r="M56" t="s">
        <v>497</v>
      </c>
      <c r="N56"/>
      <c r="O56"/>
      <c r="P56"/>
      <c r="Q56"/>
      <c r="R56"/>
      <c r="S56"/>
      <c r="T56"/>
    </row>
    <row r="57" spans="1:20" customHeight="1" ht="14.5">
      <c r="A57" s="178">
        <v>135</v>
      </c>
      <c r="B57" s="178" t="s">
        <v>418</v>
      </c>
      <c r="C57" s="178">
        <v>2000</v>
      </c>
      <c r="D57">
        <v>2000</v>
      </c>
      <c r="E57">
        <v>3000</v>
      </c>
      <c r="F57">
        <v>1</v>
      </c>
      <c r="G57">
        <v>3000</v>
      </c>
      <c r="H57">
        <v>3000</v>
      </c>
      <c r="I57">
        <v>1</v>
      </c>
      <c r="J57">
        <v>3000</v>
      </c>
      <c r="K57">
        <v>0</v>
      </c>
      <c r="L57">
        <v>0</v>
      </c>
      <c r="M57" t="s">
        <v>497</v>
      </c>
      <c r="N57"/>
      <c r="O57"/>
      <c r="P57"/>
      <c r="Q57"/>
      <c r="R57"/>
      <c r="S57"/>
      <c r="T57"/>
    </row>
    <row r="58" spans="1:20" customHeight="1" ht="14.5">
      <c r="A58" s="178">
        <v>140</v>
      </c>
      <c r="B58" s="178" t="s">
        <v>419</v>
      </c>
      <c r="C58" s="178">
        <v>187720.45</v>
      </c>
      <c r="D58">
        <v>187720.45</v>
      </c>
      <c r="E58">
        <v>83780.4</v>
      </c>
      <c r="F58">
        <v>1</v>
      </c>
      <c r="G58">
        <v>83780.4</v>
      </c>
      <c r="H58">
        <v>83780.4</v>
      </c>
      <c r="I58">
        <v>1</v>
      </c>
      <c r="J58">
        <v>83780.4</v>
      </c>
      <c r="K58">
        <v>0</v>
      </c>
      <c r="L58">
        <v>0</v>
      </c>
      <c r="M58" t="s">
        <v>497</v>
      </c>
      <c r="N58"/>
      <c r="O58"/>
      <c r="P58"/>
      <c r="Q58"/>
      <c r="R58"/>
      <c r="S58"/>
      <c r="T58"/>
    </row>
    <row r="59" spans="1:20" customHeight="1" ht="14.5">
      <c r="A59" s="178">
        <v>150</v>
      </c>
      <c r="B59" s="178" t="s">
        <v>420</v>
      </c>
      <c r="C59" s="178">
        <v>5332.4</v>
      </c>
      <c r="D59">
        <v>5332.4</v>
      </c>
      <c r="E59">
        <v>1476.68</v>
      </c>
      <c r="F59">
        <v>1</v>
      </c>
      <c r="G59">
        <v>1476.68</v>
      </c>
      <c r="H59">
        <v>1476.68</v>
      </c>
      <c r="I59">
        <v>1</v>
      </c>
      <c r="J59">
        <v>1476.68</v>
      </c>
      <c r="K59">
        <v>0</v>
      </c>
      <c r="L59">
        <v>0</v>
      </c>
      <c r="M59" t="s">
        <v>497</v>
      </c>
      <c r="N59"/>
      <c r="O59"/>
      <c r="P59"/>
      <c r="Q59"/>
      <c r="R59"/>
      <c r="S59"/>
      <c r="T59"/>
    </row>
    <row r="60" spans="1:20" customHeight="1" ht="14.5">
      <c r="A60" s="178">
        <v>155</v>
      </c>
      <c r="B60" s="178" t="s">
        <v>421</v>
      </c>
      <c r="C60" s="178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497</v>
      </c>
      <c r="N60"/>
      <c r="O60"/>
      <c r="P60"/>
      <c r="Q60"/>
      <c r="R60"/>
      <c r="S60"/>
      <c r="T60"/>
    </row>
    <row r="61" spans="1:20" customHeight="1" ht="14.5">
      <c r="A61" s="178">
        <v>160</v>
      </c>
      <c r="B61" s="178" t="s">
        <v>422</v>
      </c>
      <c r="C61" s="178">
        <v>185907.47</v>
      </c>
      <c r="D61">
        <v>185907.47</v>
      </c>
      <c r="E61">
        <v>-7050.85</v>
      </c>
      <c r="F61">
        <v>1</v>
      </c>
      <c r="G61">
        <v>-7050.85</v>
      </c>
      <c r="H61">
        <v>-7050.85</v>
      </c>
      <c r="I61">
        <v>1</v>
      </c>
      <c r="J61">
        <v>-7050.85</v>
      </c>
      <c r="K61">
        <v>0</v>
      </c>
      <c r="L61">
        <v>0</v>
      </c>
      <c r="M61" t="s">
        <v>497</v>
      </c>
      <c r="N61"/>
      <c r="O61"/>
      <c r="P61"/>
      <c r="Q61"/>
      <c r="R61"/>
      <c r="S61"/>
      <c r="T61"/>
    </row>
    <row r="62" spans="1:20" customHeight="1" ht="14.5">
      <c r="A62" s="178">
        <v>170</v>
      </c>
      <c r="B62" s="178" t="s">
        <v>423</v>
      </c>
      <c r="C62" s="178">
        <v>826646.08</v>
      </c>
      <c r="D62">
        <v>826646.08</v>
      </c>
      <c r="E62">
        <v>1032520.05</v>
      </c>
      <c r="F62">
        <v>1</v>
      </c>
      <c r="G62">
        <v>1032520.05</v>
      </c>
      <c r="H62">
        <v>1032520.05</v>
      </c>
      <c r="I62">
        <v>1</v>
      </c>
      <c r="J62">
        <v>1032520.05</v>
      </c>
      <c r="K62">
        <v>0</v>
      </c>
      <c r="L62">
        <v>0</v>
      </c>
      <c r="M62" t="s">
        <v>497</v>
      </c>
      <c r="N62"/>
      <c r="O62"/>
      <c r="P62"/>
      <c r="Q62"/>
      <c r="R62"/>
      <c r="S62"/>
      <c r="T62"/>
    </row>
    <row r="63" spans="1:20">
      <c r="A63" s="178">
        <v>180</v>
      </c>
      <c r="B63" s="178" t="s">
        <v>424</v>
      </c>
      <c r="C63" s="178">
        <v>541000</v>
      </c>
      <c r="D63">
        <v>541000</v>
      </c>
      <c r="E63">
        <v>388000</v>
      </c>
      <c r="F63">
        <v>1</v>
      </c>
      <c r="G63">
        <v>388000</v>
      </c>
      <c r="H63">
        <v>388000</v>
      </c>
      <c r="I63">
        <v>1</v>
      </c>
      <c r="J63">
        <v>388000</v>
      </c>
      <c r="K63">
        <v>0</v>
      </c>
      <c r="L63">
        <v>0</v>
      </c>
      <c r="M63" t="s">
        <v>497</v>
      </c>
      <c r="N63"/>
      <c r="O63"/>
      <c r="P63"/>
      <c r="Q63"/>
      <c r="R63"/>
      <c r="S63"/>
      <c r="T63"/>
    </row>
    <row r="64" spans="1:20">
      <c r="A64" s="178">
        <v>190</v>
      </c>
      <c r="B64" s="178" t="s">
        <v>425</v>
      </c>
      <c r="C64" s="178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497</v>
      </c>
      <c r="N64"/>
      <c r="O64"/>
      <c r="P64"/>
      <c r="Q64"/>
      <c r="R64"/>
      <c r="S64"/>
      <c r="T64"/>
    </row>
    <row r="65" spans="1:20" customHeight="1" ht="14.5">
      <c r="A65" s="178">
        <v>200</v>
      </c>
      <c r="B65" s="178" t="s">
        <v>426</v>
      </c>
      <c r="C65" s="178">
        <v>285646.08</v>
      </c>
      <c r="D65">
        <v>285646.08</v>
      </c>
      <c r="E65">
        <v>644520.05</v>
      </c>
      <c r="F65">
        <v>1</v>
      </c>
      <c r="G65">
        <v>644520.05</v>
      </c>
      <c r="H65">
        <v>644520.05</v>
      </c>
      <c r="I65">
        <v>1</v>
      </c>
      <c r="J65">
        <v>644520.05</v>
      </c>
      <c r="K65">
        <v>0</v>
      </c>
      <c r="L65">
        <v>0</v>
      </c>
      <c r="M65" t="s">
        <v>497</v>
      </c>
      <c r="N65"/>
      <c r="O65"/>
      <c r="P65"/>
      <c r="Q65"/>
      <c r="R65"/>
      <c r="S65"/>
      <c r="T65"/>
    </row>
    <row r="66" spans="1:20" customHeight="1" ht="14.5">
      <c r="A66" s="178">
        <v>210</v>
      </c>
      <c r="B66" s="178" t="s">
        <v>427</v>
      </c>
      <c r="C66" s="178">
        <v>1122582.63</v>
      </c>
      <c r="D66">
        <v>1122582.63</v>
      </c>
      <c r="E66">
        <v>1135498.28</v>
      </c>
      <c r="F66">
        <v>1</v>
      </c>
      <c r="G66">
        <v>1135498.28</v>
      </c>
      <c r="H66">
        <v>1135498.28</v>
      </c>
      <c r="I66">
        <v>1</v>
      </c>
      <c r="J66">
        <v>1135498.28</v>
      </c>
      <c r="K66">
        <v>0</v>
      </c>
      <c r="L66">
        <v>0</v>
      </c>
      <c r="M66" t="s">
        <v>497</v>
      </c>
      <c r="N66"/>
      <c r="O66"/>
      <c r="P66"/>
      <c r="Q66"/>
      <c r="R66"/>
      <c r="S66"/>
      <c r="T66"/>
    </row>
    <row r="67" spans="1:20">
      <c r="A67" s="178" t="s">
        <v>432</v>
      </c>
      <c r="B67" s="178" t="s">
        <v>402</v>
      </c>
      <c r="C67" s="178" t="s">
        <v>489</v>
      </c>
      <c r="D67" t="s">
        <v>490</v>
      </c>
      <c r="E67" t="s">
        <v>433</v>
      </c>
      <c r="F67" t="s">
        <v>508</v>
      </c>
      <c r="G67" t="s">
        <v>492</v>
      </c>
      <c r="H67" t="s">
        <v>504</v>
      </c>
      <c r="I67" t="s">
        <v>505</v>
      </c>
      <c r="J67" t="s">
        <v>506</v>
      </c>
      <c r="K67" t="s">
        <v>434</v>
      </c>
      <c r="L67" t="s">
        <v>507</v>
      </c>
      <c r="M67" t="s">
        <v>405</v>
      </c>
      <c r="N67"/>
      <c r="O67"/>
      <c r="P67"/>
      <c r="Q67"/>
      <c r="R67"/>
      <c r="S67"/>
      <c r="T67"/>
    </row>
    <row r="68" spans="1:20" customHeight="1" ht="14.5">
      <c r="A68" s="178">
        <v>30</v>
      </c>
      <c r="B68" s="178" t="s">
        <v>406</v>
      </c>
      <c r="C68" s="178">
        <v>3454255.34</v>
      </c>
      <c r="D68">
        <v>3454255.34</v>
      </c>
      <c r="E68">
        <v>3298210</v>
      </c>
      <c r="F68">
        <v>1</v>
      </c>
      <c r="G68">
        <v>3298210</v>
      </c>
      <c r="H68">
        <v>3298210</v>
      </c>
      <c r="I68">
        <v>1</v>
      </c>
      <c r="J68">
        <v>3298210</v>
      </c>
      <c r="K68">
        <v>0</v>
      </c>
      <c r="L68">
        <v>0</v>
      </c>
      <c r="M68" t="s">
        <v>497</v>
      </c>
      <c r="N68"/>
      <c r="O68"/>
      <c r="P68"/>
      <c r="Q68"/>
      <c r="R68"/>
      <c r="S68"/>
      <c r="T68"/>
    </row>
    <row r="69" spans="1:20" customHeight="1" ht="14.5">
      <c r="A69" s="178">
        <v>40</v>
      </c>
      <c r="B69" s="178" t="s">
        <v>408</v>
      </c>
      <c r="C69" s="178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497</v>
      </c>
      <c r="N69"/>
      <c r="O69"/>
      <c r="P69"/>
      <c r="Q69"/>
      <c r="R69"/>
      <c r="S69"/>
      <c r="T69"/>
    </row>
    <row r="70" spans="1:20">
      <c r="A70" s="178">
        <v>50</v>
      </c>
      <c r="B70" s="178" t="s">
        <v>409</v>
      </c>
      <c r="C70" s="178">
        <v>3454255.34</v>
      </c>
      <c r="D70">
        <v>3454255.34</v>
      </c>
      <c r="E70">
        <v>3298210</v>
      </c>
      <c r="F70">
        <v>1</v>
      </c>
      <c r="G70">
        <v>3298210</v>
      </c>
      <c r="H70">
        <v>3298210</v>
      </c>
      <c r="I70">
        <v>1</v>
      </c>
      <c r="J70">
        <v>3298210</v>
      </c>
      <c r="K70">
        <v>0</v>
      </c>
      <c r="L70">
        <v>0</v>
      </c>
      <c r="M70" t="s">
        <v>497</v>
      </c>
      <c r="N70"/>
      <c r="O70"/>
      <c r="P70"/>
      <c r="Q70"/>
      <c r="R70"/>
      <c r="S70"/>
      <c r="T70"/>
    </row>
    <row r="71" spans="1:20">
      <c r="A71" s="178">
        <v>60</v>
      </c>
      <c r="B71" s="178" t="s">
        <v>410</v>
      </c>
      <c r="C71" s="178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497</v>
      </c>
      <c r="N71"/>
      <c r="O71"/>
      <c r="P71"/>
      <c r="Q71"/>
      <c r="R71"/>
      <c r="S71"/>
      <c r="T71"/>
    </row>
    <row r="72" spans="1:20">
      <c r="A72" s="178">
        <v>70</v>
      </c>
      <c r="B72" s="178" t="s">
        <v>411</v>
      </c>
      <c r="C72" s="178">
        <v>3454255.34</v>
      </c>
      <c r="D72">
        <v>3454255.34</v>
      </c>
      <c r="E72">
        <v>3298210</v>
      </c>
      <c r="F72">
        <v>1</v>
      </c>
      <c r="G72">
        <v>3298210</v>
      </c>
      <c r="H72">
        <v>3298210</v>
      </c>
      <c r="I72">
        <v>1</v>
      </c>
      <c r="J72">
        <v>3298210</v>
      </c>
      <c r="K72">
        <v>0</v>
      </c>
      <c r="L72">
        <v>0</v>
      </c>
      <c r="M72" t="s">
        <v>497</v>
      </c>
      <c r="N72"/>
      <c r="O72"/>
      <c r="P72"/>
      <c r="Q72"/>
      <c r="R72"/>
      <c r="S72"/>
      <c r="T72"/>
    </row>
    <row r="73" spans="1:20" customHeight="1" ht="14.5">
      <c r="A73" s="178">
        <v>80</v>
      </c>
      <c r="B73" s="178" t="s">
        <v>412</v>
      </c>
      <c r="C73" s="178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497</v>
      </c>
      <c r="N73"/>
      <c r="O73"/>
      <c r="P73"/>
      <c r="Q73"/>
      <c r="R73"/>
      <c r="S73"/>
      <c r="T73"/>
    </row>
    <row r="74" spans="1:20" customHeight="1" ht="14.5">
      <c r="A74" s="178">
        <v>90</v>
      </c>
      <c r="B74" s="178" t="s">
        <v>413</v>
      </c>
      <c r="C74" s="178">
        <v>3161437.66</v>
      </c>
      <c r="D74">
        <v>3161437.66</v>
      </c>
      <c r="E74">
        <v>2988173.84</v>
      </c>
      <c r="F74">
        <v>1</v>
      </c>
      <c r="G74">
        <v>2988173.84</v>
      </c>
      <c r="H74">
        <v>2988173.84</v>
      </c>
      <c r="I74">
        <v>1</v>
      </c>
      <c r="J74">
        <v>2988173.84</v>
      </c>
      <c r="K74">
        <v>0</v>
      </c>
      <c r="L74">
        <v>0</v>
      </c>
      <c r="M74" t="s">
        <v>497</v>
      </c>
      <c r="N74"/>
      <c r="O74"/>
      <c r="P74"/>
      <c r="Q74"/>
      <c r="R74"/>
      <c r="S74"/>
      <c r="T74"/>
    </row>
    <row r="75" spans="1:20" customHeight="1" ht="14.5">
      <c r="A75" s="178">
        <v>100</v>
      </c>
      <c r="B75" s="178" t="s">
        <v>414</v>
      </c>
      <c r="C75" s="178">
        <v>45176.32</v>
      </c>
      <c r="D75">
        <v>45176.32</v>
      </c>
      <c r="E75">
        <v>45176.32</v>
      </c>
      <c r="F75">
        <v>1</v>
      </c>
      <c r="G75">
        <v>45176.32</v>
      </c>
      <c r="H75">
        <v>45176.32</v>
      </c>
      <c r="I75">
        <v>1</v>
      </c>
      <c r="J75">
        <v>45176.32</v>
      </c>
      <c r="K75">
        <v>0</v>
      </c>
      <c r="L75">
        <v>0</v>
      </c>
      <c r="M75" t="s">
        <v>497</v>
      </c>
      <c r="N75"/>
      <c r="O75"/>
      <c r="P75"/>
      <c r="Q75"/>
      <c r="R75"/>
      <c r="S75"/>
      <c r="T75"/>
    </row>
    <row r="76" spans="1:20" customHeight="1" ht="14.5">
      <c r="A76" s="178">
        <v>110</v>
      </c>
      <c r="B76" s="178" t="s">
        <v>415</v>
      </c>
      <c r="C76" s="178">
        <v>3206613.98</v>
      </c>
      <c r="D76">
        <v>3206613.98</v>
      </c>
      <c r="E76">
        <v>3033350.16</v>
      </c>
      <c r="F76">
        <v>1</v>
      </c>
      <c r="G76">
        <v>3033350.16</v>
      </c>
      <c r="H76">
        <v>3033350.16</v>
      </c>
      <c r="I76">
        <v>1</v>
      </c>
      <c r="J76">
        <v>3033350.16</v>
      </c>
      <c r="K76">
        <v>0</v>
      </c>
      <c r="L76">
        <v>0</v>
      </c>
      <c r="M76" t="s">
        <v>497</v>
      </c>
      <c r="N76"/>
      <c r="O76"/>
      <c r="P76"/>
      <c r="Q76"/>
      <c r="R76"/>
      <c r="S76"/>
      <c r="T76"/>
    </row>
    <row r="77" spans="1:20" customHeight="1" ht="14.5">
      <c r="A77" s="178">
        <v>120</v>
      </c>
      <c r="B77" s="178" t="s">
        <v>416</v>
      </c>
      <c r="C77" s="178">
        <v>247641.36</v>
      </c>
      <c r="D77">
        <v>247641.36</v>
      </c>
      <c r="E77">
        <v>264859.84</v>
      </c>
      <c r="F77">
        <v>1</v>
      </c>
      <c r="G77">
        <v>264859.84</v>
      </c>
      <c r="H77">
        <v>264859.84</v>
      </c>
      <c r="I77">
        <v>1</v>
      </c>
      <c r="J77">
        <v>264859.84</v>
      </c>
      <c r="K77">
        <v>0</v>
      </c>
      <c r="L77">
        <v>0</v>
      </c>
      <c r="M77" t="s">
        <v>497</v>
      </c>
      <c r="N77"/>
      <c r="O77"/>
      <c r="P77"/>
      <c r="Q77"/>
      <c r="R77"/>
      <c r="S77"/>
      <c r="T77"/>
    </row>
    <row r="78" spans="1:20" customHeight="1" ht="14.5">
      <c r="A78" s="178">
        <v>130</v>
      </c>
      <c r="B78" s="178" t="s">
        <v>417</v>
      </c>
      <c r="C78" s="178">
        <v>-2191.96</v>
      </c>
      <c r="D78">
        <v>-2191.96</v>
      </c>
      <c r="E78">
        <v>-236.58</v>
      </c>
      <c r="F78">
        <v>1</v>
      </c>
      <c r="G78">
        <v>-236.58</v>
      </c>
      <c r="H78">
        <v>-236.58</v>
      </c>
      <c r="I78">
        <v>1</v>
      </c>
      <c r="J78">
        <v>-236.58</v>
      </c>
      <c r="K78">
        <v>0</v>
      </c>
      <c r="L78">
        <v>0</v>
      </c>
      <c r="M78" t="s">
        <v>497</v>
      </c>
      <c r="N78"/>
      <c r="O78"/>
      <c r="P78"/>
      <c r="Q78"/>
      <c r="R78"/>
      <c r="S78"/>
      <c r="T78"/>
    </row>
    <row r="79" spans="1:20" customHeight="1" ht="14.5">
      <c r="A79" s="178">
        <v>135</v>
      </c>
      <c r="B79" s="178" t="s">
        <v>418</v>
      </c>
      <c r="C79" s="178">
        <v>0</v>
      </c>
      <c r="D79">
        <v>0</v>
      </c>
      <c r="E79">
        <v>4802</v>
      </c>
      <c r="F79">
        <v>1</v>
      </c>
      <c r="G79">
        <v>4802</v>
      </c>
      <c r="H79">
        <v>4802</v>
      </c>
      <c r="I79">
        <v>1</v>
      </c>
      <c r="J79">
        <v>4802</v>
      </c>
      <c r="K79">
        <v>0</v>
      </c>
      <c r="L79">
        <v>0</v>
      </c>
      <c r="M79" t="s">
        <v>497</v>
      </c>
      <c r="N79"/>
      <c r="O79"/>
      <c r="P79"/>
      <c r="Q79"/>
      <c r="R79"/>
      <c r="S79"/>
      <c r="T79"/>
    </row>
    <row r="80" spans="1:20" customHeight="1" ht="14.5">
      <c r="A80" s="178">
        <v>140</v>
      </c>
      <c r="B80" s="178" t="s">
        <v>419</v>
      </c>
      <c r="C80" s="178">
        <v>4559.41</v>
      </c>
      <c r="D80">
        <v>4559.41</v>
      </c>
      <c r="E80">
        <v>6185.01</v>
      </c>
      <c r="F80">
        <v>1</v>
      </c>
      <c r="G80">
        <v>6185.01</v>
      </c>
      <c r="H80">
        <v>6185.01</v>
      </c>
      <c r="I80">
        <v>1</v>
      </c>
      <c r="J80">
        <v>6185.01</v>
      </c>
      <c r="K80">
        <v>0</v>
      </c>
      <c r="L80">
        <v>0</v>
      </c>
      <c r="M80" t="s">
        <v>497</v>
      </c>
      <c r="N80"/>
      <c r="O80"/>
      <c r="P80"/>
      <c r="Q80"/>
      <c r="R80"/>
      <c r="S80"/>
      <c r="T80"/>
    </row>
    <row r="81" spans="1:20" customHeight="1" ht="14.5">
      <c r="A81" s="178">
        <v>150</v>
      </c>
      <c r="B81" s="178" t="s">
        <v>420</v>
      </c>
      <c r="C81" s="178">
        <v>0</v>
      </c>
      <c r="D81">
        <v>0</v>
      </c>
      <c r="E81">
        <v>12.57</v>
      </c>
      <c r="F81">
        <v>1</v>
      </c>
      <c r="G81">
        <v>12.57</v>
      </c>
      <c r="H81">
        <v>12.57</v>
      </c>
      <c r="I81">
        <v>1</v>
      </c>
      <c r="J81">
        <v>12.57</v>
      </c>
      <c r="K81">
        <v>0</v>
      </c>
      <c r="L81">
        <v>0</v>
      </c>
      <c r="M81" t="s">
        <v>497</v>
      </c>
      <c r="N81"/>
      <c r="O81"/>
      <c r="P81"/>
      <c r="Q81"/>
      <c r="R81"/>
      <c r="S81"/>
      <c r="T81"/>
    </row>
    <row r="82" spans="1:20" customHeight="1" ht="14.5">
      <c r="A82" s="178">
        <v>155</v>
      </c>
      <c r="B82" s="178" t="s">
        <v>421</v>
      </c>
      <c r="C82" s="178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497</v>
      </c>
      <c r="N82"/>
      <c r="O82"/>
      <c r="P82"/>
      <c r="Q82"/>
      <c r="R82"/>
      <c r="S82"/>
      <c r="T82"/>
    </row>
    <row r="83" spans="1:20" customHeight="1" ht="14.5">
      <c r="A83" s="178">
        <v>160</v>
      </c>
      <c r="B83" s="178" t="s">
        <v>422</v>
      </c>
      <c r="C83" s="178">
        <v>2367.45</v>
      </c>
      <c r="D83">
        <v>2367.45</v>
      </c>
      <c r="E83">
        <v>10737.86</v>
      </c>
      <c r="F83">
        <v>1</v>
      </c>
      <c r="G83">
        <v>10737.86</v>
      </c>
      <c r="H83">
        <v>10737.86</v>
      </c>
      <c r="I83">
        <v>1</v>
      </c>
      <c r="J83">
        <v>10737.86</v>
      </c>
      <c r="K83">
        <v>0</v>
      </c>
      <c r="L83">
        <v>0</v>
      </c>
      <c r="M83" t="s">
        <v>497</v>
      </c>
      <c r="N83"/>
      <c r="O83"/>
      <c r="P83"/>
      <c r="Q83"/>
      <c r="R83"/>
      <c r="S83"/>
      <c r="T83"/>
    </row>
    <row r="84" spans="1:20" customHeight="1" ht="14.5">
      <c r="A84" s="178">
        <v>170</v>
      </c>
      <c r="B84" s="178" t="s">
        <v>423</v>
      </c>
      <c r="C84" s="178">
        <v>245273.91</v>
      </c>
      <c r="D84">
        <v>245273.91</v>
      </c>
      <c r="E84">
        <v>254121.98</v>
      </c>
      <c r="F84">
        <v>1</v>
      </c>
      <c r="G84">
        <v>254121.98</v>
      </c>
      <c r="H84">
        <v>254121.98</v>
      </c>
      <c r="I84">
        <v>1</v>
      </c>
      <c r="J84">
        <v>254121.98</v>
      </c>
      <c r="K84">
        <v>0</v>
      </c>
      <c r="L84">
        <v>0</v>
      </c>
      <c r="M84" t="s">
        <v>497</v>
      </c>
      <c r="N84"/>
      <c r="O84"/>
      <c r="P84"/>
      <c r="Q84"/>
      <c r="R84"/>
      <c r="S84"/>
      <c r="T84"/>
    </row>
    <row r="85" spans="1:20">
      <c r="A85" s="178">
        <v>180</v>
      </c>
      <c r="B85" s="178" t="s">
        <v>424</v>
      </c>
      <c r="C85" s="178">
        <v>74197.4</v>
      </c>
      <c r="D85">
        <v>74197.4</v>
      </c>
      <c r="E85">
        <v>72931</v>
      </c>
      <c r="F85">
        <v>1</v>
      </c>
      <c r="G85">
        <v>72931</v>
      </c>
      <c r="H85">
        <v>72931</v>
      </c>
      <c r="I85">
        <v>1</v>
      </c>
      <c r="J85">
        <v>72931</v>
      </c>
      <c r="K85">
        <v>0</v>
      </c>
      <c r="L85">
        <v>0</v>
      </c>
      <c r="M85" t="s">
        <v>497</v>
      </c>
      <c r="N85"/>
      <c r="O85"/>
      <c r="P85"/>
      <c r="Q85"/>
      <c r="R85"/>
      <c r="S85"/>
      <c r="T85"/>
    </row>
    <row r="86" spans="1:20">
      <c r="A86" s="178">
        <v>190</v>
      </c>
      <c r="B86" s="178" t="s">
        <v>425</v>
      </c>
      <c r="C86" s="178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497</v>
      </c>
      <c r="N86"/>
      <c r="O86"/>
      <c r="P86"/>
      <c r="Q86"/>
      <c r="R86"/>
      <c r="S86"/>
      <c r="T86"/>
    </row>
    <row r="87" spans="1:20" customHeight="1" ht="14.5">
      <c r="A87" s="178">
        <v>200</v>
      </c>
      <c r="B87" s="178" t="s">
        <v>426</v>
      </c>
      <c r="C87" s="178">
        <v>171076.51</v>
      </c>
      <c r="D87">
        <v>171076.51</v>
      </c>
      <c r="E87">
        <v>181190.98</v>
      </c>
      <c r="F87">
        <v>1</v>
      </c>
      <c r="G87">
        <v>181190.98</v>
      </c>
      <c r="H87">
        <v>181190.98</v>
      </c>
      <c r="I87">
        <v>1</v>
      </c>
      <c r="J87">
        <v>181190.98</v>
      </c>
      <c r="K87">
        <v>0</v>
      </c>
      <c r="L87">
        <v>0</v>
      </c>
      <c r="M87" t="s">
        <v>497</v>
      </c>
      <c r="N87"/>
      <c r="O87"/>
      <c r="P87"/>
      <c r="Q87"/>
      <c r="R87"/>
      <c r="S87"/>
      <c r="T87"/>
    </row>
    <row r="88" spans="1:20" customHeight="1" ht="14.5">
      <c r="A88" s="178">
        <v>210</v>
      </c>
      <c r="B88" s="178" t="s">
        <v>427</v>
      </c>
      <c r="C88" s="178">
        <v>292817.68</v>
      </c>
      <c r="D88">
        <v>292817.68</v>
      </c>
      <c r="E88">
        <v>310036.16</v>
      </c>
      <c r="F88">
        <v>1</v>
      </c>
      <c r="G88">
        <v>310036.16</v>
      </c>
      <c r="H88">
        <v>310036.16</v>
      </c>
      <c r="I88">
        <v>1</v>
      </c>
      <c r="J88">
        <v>310036.16</v>
      </c>
      <c r="K88">
        <v>0</v>
      </c>
      <c r="L88">
        <v>0</v>
      </c>
      <c r="M88" t="s">
        <v>497</v>
      </c>
      <c r="N88"/>
      <c r="O88"/>
      <c r="P88"/>
      <c r="Q88"/>
      <c r="R88"/>
      <c r="S88"/>
      <c r="T88"/>
    </row>
    <row r="89" spans="1:20">
      <c r="A89" s="178" t="s">
        <v>435</v>
      </c>
      <c r="B89" s="178" t="s">
        <v>402</v>
      </c>
      <c r="C89" s="178" t="s">
        <v>489</v>
      </c>
      <c r="D89" t="s">
        <v>490</v>
      </c>
      <c r="E89" t="s">
        <v>403</v>
      </c>
      <c r="F89" t="s">
        <v>491</v>
      </c>
      <c r="G89" t="s">
        <v>492</v>
      </c>
      <c r="H89" t="s">
        <v>493</v>
      </c>
      <c r="I89" t="s">
        <v>494</v>
      </c>
      <c r="J89" t="s">
        <v>495</v>
      </c>
      <c r="K89" t="s">
        <v>404</v>
      </c>
      <c r="L89" t="s">
        <v>496</v>
      </c>
      <c r="M89" t="s">
        <v>405</v>
      </c>
      <c r="N89"/>
      <c r="O89"/>
      <c r="P89"/>
      <c r="Q89"/>
      <c r="R89"/>
      <c r="S89"/>
      <c r="T89"/>
    </row>
    <row r="90" spans="1:20" customHeight="1" ht="14.5">
      <c r="A90" s="178">
        <v>30</v>
      </c>
      <c r="B90" s="178" t="s">
        <v>406</v>
      </c>
      <c r="C90" s="178">
        <v>325869.6</v>
      </c>
      <c r="D90">
        <v>325869.6</v>
      </c>
      <c r="E90">
        <v>446283.29</v>
      </c>
      <c r="F90">
        <v>1</v>
      </c>
      <c r="G90">
        <v>446283.29</v>
      </c>
      <c r="H90">
        <v>446283.29</v>
      </c>
      <c r="I90">
        <v>1</v>
      </c>
      <c r="J90">
        <v>446283.29</v>
      </c>
      <c r="K90">
        <v>0</v>
      </c>
      <c r="L90">
        <v>0</v>
      </c>
      <c r="M90" t="s">
        <v>497</v>
      </c>
      <c r="N90"/>
      <c r="O90"/>
      <c r="P90"/>
      <c r="Q90"/>
      <c r="R90"/>
      <c r="S90"/>
      <c r="T90"/>
    </row>
    <row r="91" spans="1:20" customHeight="1" ht="14.5">
      <c r="A91" s="178">
        <v>40</v>
      </c>
      <c r="B91" s="178" t="s">
        <v>408</v>
      </c>
      <c r="C91" s="178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497</v>
      </c>
      <c r="N91"/>
      <c r="O91"/>
      <c r="P91"/>
      <c r="Q91"/>
      <c r="R91"/>
      <c r="S91"/>
      <c r="T91"/>
    </row>
    <row r="92" spans="1:20">
      <c r="A92" s="178">
        <v>50</v>
      </c>
      <c r="B92" s="178" t="s">
        <v>409</v>
      </c>
      <c r="C92" s="178">
        <v>325869.6</v>
      </c>
      <c r="D92">
        <v>325869.6</v>
      </c>
      <c r="E92">
        <v>446283.29</v>
      </c>
      <c r="F92">
        <v>1</v>
      </c>
      <c r="G92">
        <v>446283.29</v>
      </c>
      <c r="H92">
        <v>446283.29</v>
      </c>
      <c r="I92">
        <v>1</v>
      </c>
      <c r="J92">
        <v>446283.29</v>
      </c>
      <c r="K92">
        <v>0</v>
      </c>
      <c r="L92">
        <v>0</v>
      </c>
      <c r="M92" t="s">
        <v>497</v>
      </c>
      <c r="N92"/>
      <c r="O92"/>
      <c r="P92"/>
      <c r="Q92"/>
      <c r="R92"/>
      <c r="S92"/>
      <c r="T92"/>
    </row>
    <row r="93" spans="1:20">
      <c r="A93" s="178">
        <v>60</v>
      </c>
      <c r="B93" s="178" t="s">
        <v>410</v>
      </c>
      <c r="C93" s="178">
        <v>210039.06</v>
      </c>
      <c r="D93">
        <v>210039.06</v>
      </c>
      <c r="E93">
        <v>283998.45</v>
      </c>
      <c r="F93">
        <v>1</v>
      </c>
      <c r="G93">
        <v>283998.45</v>
      </c>
      <c r="H93">
        <v>283998.45</v>
      </c>
      <c r="I93">
        <v>1</v>
      </c>
      <c r="J93">
        <v>283998.45</v>
      </c>
      <c r="K93">
        <v>0</v>
      </c>
      <c r="L93">
        <v>0</v>
      </c>
      <c r="M93" t="s">
        <v>497</v>
      </c>
      <c r="N93"/>
      <c r="O93"/>
      <c r="P93"/>
      <c r="Q93"/>
      <c r="R93"/>
      <c r="S93"/>
      <c r="T93"/>
    </row>
    <row r="94" spans="1:20">
      <c r="A94" s="178">
        <v>70</v>
      </c>
      <c r="B94" s="178" t="s">
        <v>411</v>
      </c>
      <c r="C94" s="178">
        <v>115830.54</v>
      </c>
      <c r="D94">
        <v>115830.54</v>
      </c>
      <c r="E94">
        <v>162284.84</v>
      </c>
      <c r="F94">
        <v>1</v>
      </c>
      <c r="G94">
        <v>162284.84</v>
      </c>
      <c r="H94">
        <v>162284.84</v>
      </c>
      <c r="I94">
        <v>1</v>
      </c>
      <c r="J94">
        <v>162284.84</v>
      </c>
      <c r="K94">
        <v>0</v>
      </c>
      <c r="L94">
        <v>0</v>
      </c>
      <c r="M94" t="s">
        <v>497</v>
      </c>
      <c r="N94"/>
      <c r="O94"/>
      <c r="P94"/>
      <c r="Q94"/>
      <c r="R94"/>
      <c r="S94"/>
      <c r="T94"/>
    </row>
    <row r="95" spans="1:20" customHeight="1" ht="14.5">
      <c r="A95" s="178">
        <v>80</v>
      </c>
      <c r="B95" s="178" t="s">
        <v>412</v>
      </c>
      <c r="C95" s="178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497</v>
      </c>
      <c r="N95"/>
      <c r="O95"/>
      <c r="P95"/>
      <c r="Q95"/>
      <c r="R95"/>
      <c r="S95"/>
      <c r="T95"/>
    </row>
    <row r="96" spans="1:20" customHeight="1" ht="14.5">
      <c r="A96" s="178">
        <v>90</v>
      </c>
      <c r="B96" s="178" t="s">
        <v>413</v>
      </c>
      <c r="C96" s="178">
        <v>155484.88</v>
      </c>
      <c r="D96">
        <v>155484.88</v>
      </c>
      <c r="E96">
        <v>251635.25</v>
      </c>
      <c r="F96">
        <v>1</v>
      </c>
      <c r="G96">
        <v>251635.25</v>
      </c>
      <c r="H96">
        <v>251635.25</v>
      </c>
      <c r="I96">
        <v>1</v>
      </c>
      <c r="J96">
        <v>251635.25</v>
      </c>
      <c r="K96">
        <v>0</v>
      </c>
      <c r="L96">
        <v>0</v>
      </c>
      <c r="M96" t="s">
        <v>497</v>
      </c>
      <c r="N96"/>
      <c r="O96"/>
      <c r="P96"/>
      <c r="Q96"/>
      <c r="R96"/>
      <c r="S96"/>
      <c r="T96"/>
    </row>
    <row r="97" spans="1:20" customHeight="1" ht="14.5">
      <c r="A97" s="178">
        <v>100</v>
      </c>
      <c r="B97" s="178" t="s">
        <v>414</v>
      </c>
      <c r="C97" s="178">
        <v>0</v>
      </c>
      <c r="D97">
        <v>0</v>
      </c>
      <c r="E97">
        <v>441.15</v>
      </c>
      <c r="F97">
        <v>1</v>
      </c>
      <c r="G97">
        <v>441.15</v>
      </c>
      <c r="H97">
        <v>441.15</v>
      </c>
      <c r="I97">
        <v>1</v>
      </c>
      <c r="J97">
        <v>441.15</v>
      </c>
      <c r="K97">
        <v>0</v>
      </c>
      <c r="L97">
        <v>0</v>
      </c>
      <c r="M97" t="s">
        <v>497</v>
      </c>
      <c r="N97"/>
      <c r="O97"/>
      <c r="P97"/>
      <c r="Q97"/>
      <c r="R97"/>
      <c r="S97"/>
      <c r="T97"/>
    </row>
    <row r="98" spans="1:20" customHeight="1" ht="14.5">
      <c r="A98" s="178">
        <v>110</v>
      </c>
      <c r="B98" s="178" t="s">
        <v>415</v>
      </c>
      <c r="C98" s="178">
        <v>155484.88</v>
      </c>
      <c r="D98">
        <v>155484.88</v>
      </c>
      <c r="E98">
        <v>252076.4</v>
      </c>
      <c r="F98">
        <v>1</v>
      </c>
      <c r="G98">
        <v>252076.4</v>
      </c>
      <c r="H98">
        <v>252076.4</v>
      </c>
      <c r="I98">
        <v>1</v>
      </c>
      <c r="J98">
        <v>252076.4</v>
      </c>
      <c r="K98">
        <v>0</v>
      </c>
      <c r="L98">
        <v>0</v>
      </c>
      <c r="M98" t="s">
        <v>497</v>
      </c>
      <c r="N98"/>
      <c r="O98"/>
      <c r="P98"/>
      <c r="Q98"/>
      <c r="R98"/>
      <c r="S98"/>
      <c r="T98"/>
    </row>
    <row r="99" spans="1:20" customHeight="1" ht="14.5">
      <c r="A99" s="178">
        <v>120</v>
      </c>
      <c r="B99" s="178" t="s">
        <v>416</v>
      </c>
      <c r="C99" s="178">
        <v>-39654.34</v>
      </c>
      <c r="D99">
        <v>-39654.34</v>
      </c>
      <c r="E99">
        <v>-89791.56</v>
      </c>
      <c r="F99">
        <v>1</v>
      </c>
      <c r="G99">
        <v>-89791.56</v>
      </c>
      <c r="H99">
        <v>-89791.56</v>
      </c>
      <c r="I99">
        <v>1</v>
      </c>
      <c r="J99">
        <v>-89791.56</v>
      </c>
      <c r="K99">
        <v>0</v>
      </c>
      <c r="L99">
        <v>0</v>
      </c>
      <c r="M99" t="s">
        <v>497</v>
      </c>
      <c r="N99"/>
      <c r="O99"/>
      <c r="P99"/>
      <c r="Q99"/>
      <c r="R99"/>
      <c r="S99"/>
      <c r="T99"/>
    </row>
    <row r="100" spans="1:20" customHeight="1" ht="14.5">
      <c r="A100" s="178">
        <v>130</v>
      </c>
      <c r="B100" s="178" t="s">
        <v>417</v>
      </c>
      <c r="C100" s="178">
        <v>12.02</v>
      </c>
      <c r="D100">
        <v>12.02</v>
      </c>
      <c r="E100">
        <v>-2644.48</v>
      </c>
      <c r="F100">
        <v>1</v>
      </c>
      <c r="G100">
        <v>-2644.48</v>
      </c>
      <c r="H100">
        <v>-2644.48</v>
      </c>
      <c r="I100">
        <v>1</v>
      </c>
      <c r="J100">
        <v>-2644.48</v>
      </c>
      <c r="K100">
        <v>0</v>
      </c>
      <c r="L100">
        <v>0</v>
      </c>
      <c r="M100" t="s">
        <v>497</v>
      </c>
      <c r="N100"/>
      <c r="O100"/>
      <c r="P100"/>
      <c r="Q100"/>
      <c r="R100"/>
      <c r="S100"/>
      <c r="T100"/>
    </row>
    <row r="101" spans="1:20" customHeight="1" ht="14.5">
      <c r="A101" s="178">
        <v>135</v>
      </c>
      <c r="B101" s="178" t="s">
        <v>418</v>
      </c>
      <c r="C101" s="178">
        <v>-5595.84</v>
      </c>
      <c r="D101">
        <v>-5595.84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497</v>
      </c>
      <c r="N101"/>
      <c r="O101"/>
      <c r="P101"/>
      <c r="Q101"/>
      <c r="R101"/>
      <c r="S101"/>
      <c r="T101"/>
    </row>
    <row r="102" spans="1:20" customHeight="1" ht="14.5">
      <c r="A102" s="178">
        <v>140</v>
      </c>
      <c r="B102" s="178" t="s">
        <v>419</v>
      </c>
      <c r="C102" s="178">
        <v>867.77</v>
      </c>
      <c r="D102">
        <v>867.77</v>
      </c>
      <c r="E102">
        <v>857.77</v>
      </c>
      <c r="F102">
        <v>1</v>
      </c>
      <c r="G102">
        <v>857.77</v>
      </c>
      <c r="H102">
        <v>857.77</v>
      </c>
      <c r="I102">
        <v>1</v>
      </c>
      <c r="J102">
        <v>857.77</v>
      </c>
      <c r="K102">
        <v>0</v>
      </c>
      <c r="L102">
        <v>0</v>
      </c>
      <c r="M102" t="s">
        <v>497</v>
      </c>
      <c r="N102"/>
      <c r="O102"/>
      <c r="P102"/>
      <c r="Q102"/>
      <c r="R102"/>
      <c r="S102"/>
      <c r="T102"/>
    </row>
    <row r="103" spans="1:20" customHeight="1" ht="14.5">
      <c r="A103" s="178">
        <v>150</v>
      </c>
      <c r="B103" s="178" t="s">
        <v>420</v>
      </c>
      <c r="C103" s="178">
        <v>0</v>
      </c>
      <c r="D103">
        <v>0</v>
      </c>
      <c r="E103">
        <v>3.9</v>
      </c>
      <c r="F103">
        <v>1</v>
      </c>
      <c r="G103">
        <v>3.9</v>
      </c>
      <c r="H103">
        <v>3.9</v>
      </c>
      <c r="I103">
        <v>1</v>
      </c>
      <c r="J103">
        <v>3.9</v>
      </c>
      <c r="K103">
        <v>0</v>
      </c>
      <c r="L103">
        <v>0</v>
      </c>
      <c r="M103" t="s">
        <v>497</v>
      </c>
      <c r="N103"/>
      <c r="O103"/>
      <c r="P103"/>
      <c r="Q103"/>
      <c r="R103"/>
      <c r="S103"/>
      <c r="T103"/>
    </row>
    <row r="104" spans="1:20" customHeight="1" ht="14.5">
      <c r="A104" s="178">
        <v>155</v>
      </c>
      <c r="B104" s="178" t="s">
        <v>421</v>
      </c>
      <c r="C104" s="178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497</v>
      </c>
      <c r="N104"/>
      <c r="O104"/>
      <c r="P104"/>
      <c r="Q104"/>
      <c r="R104"/>
      <c r="S104"/>
      <c r="T104"/>
    </row>
    <row r="105" spans="1:20" customHeight="1" ht="14.5">
      <c r="A105" s="178">
        <v>160</v>
      </c>
      <c r="B105" s="178" t="s">
        <v>422</v>
      </c>
      <c r="C105" s="178">
        <v>-4716.05</v>
      </c>
      <c r="D105">
        <v>-4716.05</v>
      </c>
      <c r="E105">
        <v>-1790.61</v>
      </c>
      <c r="F105">
        <v>1</v>
      </c>
      <c r="G105">
        <v>-1790.61</v>
      </c>
      <c r="H105">
        <v>-1790.61</v>
      </c>
      <c r="I105">
        <v>1</v>
      </c>
      <c r="J105">
        <v>-1790.61</v>
      </c>
      <c r="K105">
        <v>0</v>
      </c>
      <c r="L105">
        <v>0</v>
      </c>
      <c r="M105" t="s">
        <v>497</v>
      </c>
      <c r="N105"/>
      <c r="O105"/>
      <c r="P105"/>
      <c r="Q105"/>
      <c r="R105"/>
      <c r="S105"/>
      <c r="T105"/>
    </row>
    <row r="106" spans="1:20" customHeight="1" ht="14.5">
      <c r="A106" s="178">
        <v>170</v>
      </c>
      <c r="B106" s="178" t="s">
        <v>423</v>
      </c>
      <c r="C106" s="178">
        <v>-34938.29</v>
      </c>
      <c r="D106">
        <v>-34938.29</v>
      </c>
      <c r="E106">
        <v>-88000.95</v>
      </c>
      <c r="F106">
        <v>1</v>
      </c>
      <c r="G106">
        <v>-88000.95</v>
      </c>
      <c r="H106">
        <v>-88000.95</v>
      </c>
      <c r="I106">
        <v>1</v>
      </c>
      <c r="J106">
        <v>-88000.95</v>
      </c>
      <c r="K106">
        <v>0</v>
      </c>
      <c r="L106">
        <v>0</v>
      </c>
      <c r="M106" t="s">
        <v>497</v>
      </c>
      <c r="N106"/>
      <c r="O106"/>
      <c r="P106"/>
      <c r="Q106"/>
      <c r="R106"/>
      <c r="S106"/>
      <c r="T106"/>
    </row>
    <row r="107" spans="1:20">
      <c r="A107" s="178">
        <v>180</v>
      </c>
      <c r="B107" s="178" t="s">
        <v>424</v>
      </c>
      <c r="C107" s="178">
        <v>9463</v>
      </c>
      <c r="D107">
        <v>9463</v>
      </c>
      <c r="E107">
        <v>9562.97</v>
      </c>
      <c r="F107">
        <v>1</v>
      </c>
      <c r="G107">
        <v>9562.97</v>
      </c>
      <c r="H107">
        <v>9562.97</v>
      </c>
      <c r="I107">
        <v>1</v>
      </c>
      <c r="J107">
        <v>9562.97</v>
      </c>
      <c r="K107">
        <v>0</v>
      </c>
      <c r="L107">
        <v>0</v>
      </c>
      <c r="M107" t="s">
        <v>497</v>
      </c>
      <c r="N107"/>
      <c r="O107"/>
      <c r="P107"/>
      <c r="Q107"/>
      <c r="R107"/>
      <c r="S107"/>
      <c r="T107"/>
    </row>
    <row r="108" spans="1:20">
      <c r="A108" s="178">
        <v>190</v>
      </c>
      <c r="B108" s="178" t="s">
        <v>425</v>
      </c>
      <c r="C108" s="17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497</v>
      </c>
      <c r="N108"/>
      <c r="O108"/>
      <c r="P108"/>
      <c r="Q108"/>
      <c r="R108"/>
      <c r="S108"/>
      <c r="T108"/>
    </row>
    <row r="109" spans="1:20" customHeight="1" ht="14.5">
      <c r="A109" s="178">
        <v>200</v>
      </c>
      <c r="B109" s="178" t="s">
        <v>426</v>
      </c>
      <c r="C109" s="178">
        <v>-44401.29</v>
      </c>
      <c r="D109">
        <v>-44401.29</v>
      </c>
      <c r="E109">
        <v>-97563.92</v>
      </c>
      <c r="F109">
        <v>1</v>
      </c>
      <c r="G109">
        <v>-97563.92</v>
      </c>
      <c r="H109">
        <v>-97563.92</v>
      </c>
      <c r="I109">
        <v>1</v>
      </c>
      <c r="J109">
        <v>-97563.92</v>
      </c>
      <c r="K109">
        <v>0</v>
      </c>
      <c r="L109">
        <v>0</v>
      </c>
      <c r="M109" t="s">
        <v>497</v>
      </c>
      <c r="N109"/>
      <c r="O109"/>
      <c r="P109"/>
      <c r="Q109"/>
      <c r="R109"/>
      <c r="S109"/>
      <c r="T109"/>
    </row>
    <row r="110" spans="1:20" customHeight="1" ht="14.5">
      <c r="A110" s="178">
        <v>210</v>
      </c>
      <c r="B110" s="178" t="s">
        <v>427</v>
      </c>
      <c r="C110" s="178">
        <v>-39654.34</v>
      </c>
      <c r="D110">
        <v>-39654.34</v>
      </c>
      <c r="E110">
        <v>-89350.41</v>
      </c>
      <c r="F110">
        <v>1</v>
      </c>
      <c r="G110">
        <v>-89350.41</v>
      </c>
      <c r="H110">
        <v>-89350.41</v>
      </c>
      <c r="I110">
        <v>1</v>
      </c>
      <c r="J110">
        <v>-89350.41</v>
      </c>
      <c r="K110">
        <v>0</v>
      </c>
      <c r="L110">
        <v>0</v>
      </c>
      <c r="M110" t="s">
        <v>497</v>
      </c>
      <c r="N110"/>
      <c r="O110"/>
      <c r="P110"/>
      <c r="Q110"/>
      <c r="R110"/>
      <c r="S110"/>
      <c r="T110"/>
    </row>
    <row r="111" spans="1:20">
      <c r="A111" s="178" t="s">
        <v>436</v>
      </c>
      <c r="B111" s="178" t="s">
        <v>402</v>
      </c>
      <c r="C111" s="178" t="s">
        <v>509</v>
      </c>
      <c r="D111" t="s">
        <v>510</v>
      </c>
      <c r="E111" t="s">
        <v>403</v>
      </c>
      <c r="F111" t="s">
        <v>511</v>
      </c>
      <c r="G111" t="s">
        <v>512</v>
      </c>
      <c r="H111" t="s">
        <v>513</v>
      </c>
      <c r="I111" t="s">
        <v>514</v>
      </c>
      <c r="J111" t="s">
        <v>515</v>
      </c>
      <c r="K111" t="s">
        <v>437</v>
      </c>
      <c r="L111" t="s">
        <v>516</v>
      </c>
      <c r="M111" t="s">
        <v>405</v>
      </c>
      <c r="N111"/>
      <c r="O111"/>
      <c r="P111"/>
      <c r="Q111"/>
      <c r="R111"/>
      <c r="S111"/>
      <c r="T111"/>
    </row>
    <row r="112" spans="1:20" customHeight="1" ht="14.5">
      <c r="A112" s="178">
        <v>30</v>
      </c>
      <c r="B112" s="178" t="s">
        <v>406</v>
      </c>
      <c r="C112" s="178">
        <v>264060</v>
      </c>
      <c r="D112">
        <v>264060</v>
      </c>
      <c r="E112">
        <v>254662</v>
      </c>
      <c r="F112">
        <v>1</v>
      </c>
      <c r="G112">
        <v>254662</v>
      </c>
      <c r="H112">
        <v>254662</v>
      </c>
      <c r="I112">
        <v>1</v>
      </c>
      <c r="J112">
        <v>254662</v>
      </c>
      <c r="K112">
        <v>0</v>
      </c>
      <c r="L112">
        <v>0</v>
      </c>
      <c r="M112" t="s">
        <v>497</v>
      </c>
      <c r="N112"/>
      <c r="O112"/>
      <c r="P112"/>
      <c r="Q112"/>
      <c r="R112"/>
      <c r="S112"/>
      <c r="T112"/>
    </row>
    <row r="113" spans="1:20" customHeight="1" ht="14.5">
      <c r="A113" s="178">
        <v>40</v>
      </c>
      <c r="B113" s="178" t="s">
        <v>408</v>
      </c>
      <c r="C113" s="178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497</v>
      </c>
      <c r="N113"/>
      <c r="O113"/>
      <c r="P113"/>
      <c r="Q113"/>
      <c r="R113"/>
      <c r="S113"/>
      <c r="T113"/>
    </row>
    <row r="114" spans="1:20">
      <c r="A114" s="178">
        <v>50</v>
      </c>
      <c r="B114" s="178" t="s">
        <v>409</v>
      </c>
      <c r="C114" s="178">
        <v>264060</v>
      </c>
      <c r="D114">
        <v>264060</v>
      </c>
      <c r="E114">
        <v>254662</v>
      </c>
      <c r="F114">
        <v>1</v>
      </c>
      <c r="G114">
        <v>254662</v>
      </c>
      <c r="H114">
        <v>254662</v>
      </c>
      <c r="I114">
        <v>1</v>
      </c>
      <c r="J114">
        <v>254662</v>
      </c>
      <c r="K114">
        <v>0</v>
      </c>
      <c r="L114">
        <v>0</v>
      </c>
      <c r="M114" t="s">
        <v>497</v>
      </c>
      <c r="N114"/>
      <c r="O114"/>
      <c r="P114"/>
      <c r="Q114"/>
      <c r="R114"/>
      <c r="S114"/>
      <c r="T114"/>
    </row>
    <row r="115" spans="1:20">
      <c r="A115" s="178">
        <v>60</v>
      </c>
      <c r="B115" s="178" t="s">
        <v>410</v>
      </c>
      <c r="C115" s="178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497</v>
      </c>
      <c r="N115"/>
      <c r="O115"/>
      <c r="P115"/>
      <c r="Q115"/>
      <c r="R115"/>
      <c r="S115"/>
      <c r="T115"/>
    </row>
    <row r="116" spans="1:20">
      <c r="A116" s="178">
        <v>70</v>
      </c>
      <c r="B116" s="178" t="s">
        <v>411</v>
      </c>
      <c r="C116" s="178">
        <v>264060</v>
      </c>
      <c r="D116">
        <v>264060</v>
      </c>
      <c r="E116">
        <v>254662</v>
      </c>
      <c r="F116">
        <v>1</v>
      </c>
      <c r="G116">
        <v>254662</v>
      </c>
      <c r="H116">
        <v>254662</v>
      </c>
      <c r="I116">
        <v>1</v>
      </c>
      <c r="J116">
        <v>254662</v>
      </c>
      <c r="K116">
        <v>0</v>
      </c>
      <c r="L116">
        <v>0</v>
      </c>
      <c r="M116" t="s">
        <v>497</v>
      </c>
      <c r="N116"/>
      <c r="O116"/>
      <c r="P116"/>
      <c r="Q116"/>
      <c r="R116"/>
      <c r="S116"/>
      <c r="T116"/>
    </row>
    <row r="117" spans="1:20" customHeight="1" ht="14.5">
      <c r="A117" s="178">
        <v>80</v>
      </c>
      <c r="B117" s="178" t="s">
        <v>412</v>
      </c>
      <c r="C117" s="178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497</v>
      </c>
      <c r="N117"/>
      <c r="O117"/>
      <c r="P117"/>
      <c r="Q117"/>
      <c r="R117"/>
      <c r="S117"/>
      <c r="T117"/>
    </row>
    <row r="118" spans="1:20" customHeight="1" ht="14.5">
      <c r="A118" s="178">
        <v>90</v>
      </c>
      <c r="B118" s="178" t="s">
        <v>413</v>
      </c>
      <c r="C118" s="178">
        <v>168234.55</v>
      </c>
      <c r="D118">
        <v>168234.55</v>
      </c>
      <c r="E118">
        <v>184353.38</v>
      </c>
      <c r="F118">
        <v>1</v>
      </c>
      <c r="G118">
        <v>184353.38</v>
      </c>
      <c r="H118">
        <v>184353.38</v>
      </c>
      <c r="I118">
        <v>1</v>
      </c>
      <c r="J118">
        <v>184353.38</v>
      </c>
      <c r="K118">
        <v>0</v>
      </c>
      <c r="L118">
        <v>0</v>
      </c>
      <c r="M118" t="s">
        <v>497</v>
      </c>
      <c r="N118"/>
      <c r="O118"/>
      <c r="P118"/>
      <c r="Q118"/>
      <c r="R118"/>
      <c r="S118"/>
      <c r="T118"/>
    </row>
    <row r="119" spans="1:20" customHeight="1" ht="14.5">
      <c r="A119" s="178">
        <v>100</v>
      </c>
      <c r="B119" s="178" t="s">
        <v>414</v>
      </c>
      <c r="C119" s="178">
        <v>46872.08</v>
      </c>
      <c r="D119">
        <v>46872.08</v>
      </c>
      <c r="E119">
        <v>38163.12</v>
      </c>
      <c r="F119">
        <v>1</v>
      </c>
      <c r="G119">
        <v>38163.12</v>
      </c>
      <c r="H119">
        <v>38163.12</v>
      </c>
      <c r="I119">
        <v>1</v>
      </c>
      <c r="J119">
        <v>38163.12</v>
      </c>
      <c r="K119">
        <v>0</v>
      </c>
      <c r="L119">
        <v>0</v>
      </c>
      <c r="M119" t="s">
        <v>497</v>
      </c>
      <c r="N119"/>
      <c r="O119"/>
      <c r="P119"/>
      <c r="Q119"/>
      <c r="R119"/>
      <c r="S119"/>
      <c r="T119"/>
    </row>
    <row r="120" spans="1:20" customHeight="1" ht="14.5">
      <c r="A120" s="178">
        <v>110</v>
      </c>
      <c r="B120" s="178" t="s">
        <v>415</v>
      </c>
      <c r="C120" s="178">
        <v>215106.63</v>
      </c>
      <c r="D120">
        <v>215106.63</v>
      </c>
      <c r="E120">
        <v>222516.5</v>
      </c>
      <c r="F120">
        <v>1</v>
      </c>
      <c r="G120">
        <v>222516.5</v>
      </c>
      <c r="H120">
        <v>222516.5</v>
      </c>
      <c r="I120">
        <v>1</v>
      </c>
      <c r="J120">
        <v>222516.5</v>
      </c>
      <c r="K120">
        <v>0</v>
      </c>
      <c r="L120">
        <v>0</v>
      </c>
      <c r="M120" t="s">
        <v>497</v>
      </c>
      <c r="N120"/>
      <c r="O120"/>
      <c r="P120"/>
      <c r="Q120"/>
      <c r="R120"/>
      <c r="S120"/>
      <c r="T120"/>
    </row>
    <row r="121" spans="1:20" customHeight="1" ht="14.5">
      <c r="A121" s="178">
        <v>120</v>
      </c>
      <c r="B121" s="178" t="s">
        <v>416</v>
      </c>
      <c r="C121" s="178">
        <v>48953.37</v>
      </c>
      <c r="D121">
        <v>48953.37</v>
      </c>
      <c r="E121">
        <v>32145.5</v>
      </c>
      <c r="F121">
        <v>1</v>
      </c>
      <c r="G121">
        <v>32145.5</v>
      </c>
      <c r="H121">
        <v>32145.5</v>
      </c>
      <c r="I121">
        <v>1</v>
      </c>
      <c r="J121">
        <v>32145.5</v>
      </c>
      <c r="K121">
        <v>0</v>
      </c>
      <c r="L121">
        <v>0</v>
      </c>
      <c r="M121" t="s">
        <v>497</v>
      </c>
      <c r="N121"/>
      <c r="O121"/>
      <c r="P121"/>
      <c r="Q121"/>
      <c r="R121"/>
      <c r="S121"/>
      <c r="T121"/>
    </row>
    <row r="122" spans="1:20" customHeight="1" ht="14.5">
      <c r="A122" s="178">
        <v>130</v>
      </c>
      <c r="B122" s="178" t="s">
        <v>417</v>
      </c>
      <c r="C122" s="178">
        <v>-130.09</v>
      </c>
      <c r="D122">
        <v>-130.09</v>
      </c>
      <c r="E122">
        <v>-39.9</v>
      </c>
      <c r="F122">
        <v>1</v>
      </c>
      <c r="G122">
        <v>-39.9</v>
      </c>
      <c r="H122">
        <v>-39.9</v>
      </c>
      <c r="I122">
        <v>1</v>
      </c>
      <c r="J122">
        <v>-39.9</v>
      </c>
      <c r="K122">
        <v>0</v>
      </c>
      <c r="L122">
        <v>0</v>
      </c>
      <c r="M122" t="s">
        <v>497</v>
      </c>
      <c r="N122"/>
      <c r="O122"/>
      <c r="P122"/>
      <c r="Q122"/>
      <c r="R122"/>
      <c r="S122"/>
      <c r="T122"/>
    </row>
    <row r="123" spans="1:20" customHeight="1" ht="14.5">
      <c r="A123" s="178">
        <v>135</v>
      </c>
      <c r="B123" s="178" t="s">
        <v>418</v>
      </c>
      <c r="C123" s="178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497</v>
      </c>
      <c r="N123"/>
      <c r="O123"/>
      <c r="P123"/>
      <c r="Q123"/>
      <c r="R123"/>
      <c r="S123"/>
      <c r="T123"/>
    </row>
    <row r="124" spans="1:20" customHeight="1" ht="14.5">
      <c r="A124" s="178">
        <v>140</v>
      </c>
      <c r="B124" s="178" t="s">
        <v>419</v>
      </c>
      <c r="C124" s="178">
        <v>1534.25</v>
      </c>
      <c r="D124">
        <v>1534.25</v>
      </c>
      <c r="E124">
        <v>1534.25</v>
      </c>
      <c r="F124">
        <v>1</v>
      </c>
      <c r="G124">
        <v>1534.25</v>
      </c>
      <c r="H124">
        <v>1534.25</v>
      </c>
      <c r="I124">
        <v>1</v>
      </c>
      <c r="J124">
        <v>1534.25</v>
      </c>
      <c r="K124">
        <v>0</v>
      </c>
      <c r="L124">
        <v>0</v>
      </c>
      <c r="M124" t="s">
        <v>497</v>
      </c>
      <c r="N124"/>
      <c r="O124"/>
      <c r="P124"/>
      <c r="Q124"/>
      <c r="R124"/>
      <c r="S124"/>
      <c r="T124"/>
    </row>
    <row r="125" spans="1:20" customHeight="1" ht="14.5">
      <c r="A125" s="178">
        <v>150</v>
      </c>
      <c r="B125" s="178" t="s">
        <v>420</v>
      </c>
      <c r="C125" s="178">
        <v>0.08</v>
      </c>
      <c r="D125">
        <v>0.08</v>
      </c>
      <c r="E125">
        <v>0.04</v>
      </c>
      <c r="F125">
        <v>1</v>
      </c>
      <c r="G125">
        <v>0.04</v>
      </c>
      <c r="H125">
        <v>0.04</v>
      </c>
      <c r="I125">
        <v>1</v>
      </c>
      <c r="J125">
        <v>0.04</v>
      </c>
      <c r="K125">
        <v>0</v>
      </c>
      <c r="L125">
        <v>0</v>
      </c>
      <c r="M125" t="s">
        <v>497</v>
      </c>
      <c r="N125"/>
      <c r="O125"/>
      <c r="P125"/>
      <c r="Q125"/>
      <c r="R125"/>
      <c r="S125"/>
      <c r="T125"/>
    </row>
    <row r="126" spans="1:20" customHeight="1" ht="14.5">
      <c r="A126" s="178">
        <v>155</v>
      </c>
      <c r="B126" s="178" t="s">
        <v>421</v>
      </c>
      <c r="C126" s="178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497</v>
      </c>
      <c r="N126"/>
      <c r="O126"/>
      <c r="P126"/>
      <c r="Q126"/>
      <c r="R126"/>
      <c r="S126"/>
      <c r="T126"/>
    </row>
    <row r="127" spans="1:20" customHeight="1" ht="14.5">
      <c r="A127" s="178">
        <v>160</v>
      </c>
      <c r="B127" s="178" t="s">
        <v>422</v>
      </c>
      <c r="C127" s="178">
        <v>1404.08</v>
      </c>
      <c r="D127">
        <v>1404.08</v>
      </c>
      <c r="E127">
        <v>1494.31</v>
      </c>
      <c r="F127">
        <v>1</v>
      </c>
      <c r="G127">
        <v>1494.31</v>
      </c>
      <c r="H127">
        <v>1494.31</v>
      </c>
      <c r="I127">
        <v>1</v>
      </c>
      <c r="J127">
        <v>1494.31</v>
      </c>
      <c r="K127">
        <v>0</v>
      </c>
      <c r="L127">
        <v>0</v>
      </c>
      <c r="M127" t="s">
        <v>497</v>
      </c>
      <c r="N127"/>
      <c r="O127"/>
      <c r="P127"/>
      <c r="Q127"/>
      <c r="R127"/>
      <c r="S127"/>
      <c r="T127"/>
    </row>
    <row r="128" spans="1:20" customHeight="1" ht="14.5">
      <c r="A128" s="178">
        <v>170</v>
      </c>
      <c r="B128" s="178" t="s">
        <v>423</v>
      </c>
      <c r="C128" s="178">
        <v>47549.29</v>
      </c>
      <c r="D128">
        <v>47549.29</v>
      </c>
      <c r="E128">
        <v>30651.19</v>
      </c>
      <c r="F128">
        <v>1</v>
      </c>
      <c r="G128">
        <v>30651.19</v>
      </c>
      <c r="H128">
        <v>30651.19</v>
      </c>
      <c r="I128">
        <v>1</v>
      </c>
      <c r="J128">
        <v>30651.19</v>
      </c>
      <c r="K128">
        <v>0</v>
      </c>
      <c r="L128">
        <v>0</v>
      </c>
      <c r="M128" t="s">
        <v>497</v>
      </c>
      <c r="N128"/>
      <c r="O128"/>
      <c r="P128"/>
      <c r="Q128"/>
      <c r="R128"/>
      <c r="S128"/>
      <c r="T128"/>
    </row>
    <row r="129" spans="1:20">
      <c r="A129" s="178">
        <v>180</v>
      </c>
      <c r="B129" s="178" t="s">
        <v>424</v>
      </c>
      <c r="C129" s="178">
        <v>30776</v>
      </c>
      <c r="D129">
        <v>30776</v>
      </c>
      <c r="E129">
        <v>30776</v>
      </c>
      <c r="F129">
        <v>1</v>
      </c>
      <c r="G129">
        <v>30776</v>
      </c>
      <c r="H129">
        <v>30776</v>
      </c>
      <c r="I129">
        <v>1</v>
      </c>
      <c r="J129">
        <v>30776</v>
      </c>
      <c r="K129">
        <v>0</v>
      </c>
      <c r="L129">
        <v>0</v>
      </c>
      <c r="M129" t="s">
        <v>497</v>
      </c>
      <c r="N129"/>
      <c r="O129"/>
      <c r="P129"/>
      <c r="Q129"/>
      <c r="R129"/>
      <c r="S129"/>
      <c r="T129"/>
    </row>
    <row r="130" spans="1:20">
      <c r="A130" s="178">
        <v>190</v>
      </c>
      <c r="B130" s="178" t="s">
        <v>425</v>
      </c>
      <c r="C130" s="178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497</v>
      </c>
      <c r="N130"/>
      <c r="O130"/>
      <c r="P130"/>
      <c r="Q130"/>
      <c r="R130"/>
      <c r="S130"/>
      <c r="T130"/>
    </row>
    <row r="131" spans="1:20" customHeight="1" ht="14.5">
      <c r="A131" s="178">
        <v>200</v>
      </c>
      <c r="B131" s="178" t="s">
        <v>426</v>
      </c>
      <c r="C131" s="178">
        <v>16773.29</v>
      </c>
      <c r="D131">
        <v>16773.29</v>
      </c>
      <c r="E131">
        <v>-124.81</v>
      </c>
      <c r="F131">
        <v>1</v>
      </c>
      <c r="G131">
        <v>-124.81</v>
      </c>
      <c r="H131">
        <v>-124.81</v>
      </c>
      <c r="I131">
        <v>1</v>
      </c>
      <c r="J131">
        <v>-124.81</v>
      </c>
      <c r="K131">
        <v>0</v>
      </c>
      <c r="L131">
        <v>0</v>
      </c>
      <c r="M131" t="s">
        <v>497</v>
      </c>
      <c r="N131"/>
      <c r="O131"/>
      <c r="P131"/>
      <c r="Q131"/>
      <c r="R131"/>
      <c r="S131"/>
      <c r="T131"/>
    </row>
    <row r="132" spans="1:20" customHeight="1" ht="14.5">
      <c r="A132" s="178">
        <v>210</v>
      </c>
      <c r="B132" s="178" t="s">
        <v>427</v>
      </c>
      <c r="C132" s="178">
        <v>95825.45</v>
      </c>
      <c r="D132">
        <v>95825.45</v>
      </c>
      <c r="E132">
        <v>70308.62</v>
      </c>
      <c r="F132">
        <v>1</v>
      </c>
      <c r="G132">
        <v>70308.62</v>
      </c>
      <c r="H132">
        <v>70308.62</v>
      </c>
      <c r="I132">
        <v>1</v>
      </c>
      <c r="J132">
        <v>70308.62</v>
      </c>
      <c r="K132">
        <v>0</v>
      </c>
      <c r="L132">
        <v>0</v>
      </c>
      <c r="M132" t="s">
        <v>497</v>
      </c>
      <c r="N132"/>
      <c r="O132"/>
      <c r="P132"/>
      <c r="Q132"/>
      <c r="R132"/>
      <c r="S132"/>
      <c r="T132"/>
    </row>
    <row r="133" spans="1:20" s="205" customFormat="1">
      <c r="A133" s="205" t="s">
        <v>438</v>
      </c>
      <c r="B133" s="205" t="s">
        <v>402</v>
      </c>
      <c r="C133" s="205" t="s">
        <v>489</v>
      </c>
      <c r="D133" s="205" t="s">
        <v>490</v>
      </c>
      <c r="E133" s="205" t="s">
        <v>403</v>
      </c>
      <c r="F133" s="205" t="s">
        <v>498</v>
      </c>
      <c r="G133" s="205" t="s">
        <v>517</v>
      </c>
      <c r="H133" s="205" t="s">
        <v>518</v>
      </c>
      <c r="I133" s="205" t="s">
        <v>519</v>
      </c>
      <c r="J133" s="205" t="s">
        <v>520</v>
      </c>
      <c r="K133" s="205" t="s">
        <v>439</v>
      </c>
      <c r="L133" s="205" t="s">
        <v>521</v>
      </c>
      <c r="M133" s="205" t="s">
        <v>522</v>
      </c>
      <c r="N133" s="205" t="s">
        <v>523</v>
      </c>
      <c r="O133" s="205" t="s">
        <v>524</v>
      </c>
      <c r="P133" s="205" t="s">
        <v>525</v>
      </c>
      <c r="Q133" s="205" t="s">
        <v>526</v>
      </c>
      <c r="R133" s="205" t="s">
        <v>527</v>
      </c>
      <c r="S133" s="205" t="s">
        <v>528</v>
      </c>
      <c r="T133" s="205" t="s">
        <v>405</v>
      </c>
    </row>
    <row r="134" spans="1:20" customHeight="1" ht="14.5">
      <c r="A134" s="178">
        <v>30</v>
      </c>
      <c r="B134" s="178" t="s">
        <v>406</v>
      </c>
      <c r="C134" s="178">
        <v>0</v>
      </c>
      <c r="D134">
        <v>0</v>
      </c>
      <c r="E134">
        <v>184970.22</v>
      </c>
      <c r="F134">
        <v>1</v>
      </c>
      <c r="G134">
        <v>184970.22</v>
      </c>
      <c r="H134">
        <v>184970.22</v>
      </c>
      <c r="I134">
        <v>1</v>
      </c>
      <c r="J134">
        <v>184970.22</v>
      </c>
      <c r="K134">
        <v>0</v>
      </c>
      <c r="L134">
        <v>0</v>
      </c>
      <c r="M134">
        <v>0</v>
      </c>
      <c r="N134">
        <v>0</v>
      </c>
      <c r="O134">
        <v>-184970.22</v>
      </c>
      <c r="P134">
        <v>-184970.22</v>
      </c>
      <c r="Q134">
        <v>0</v>
      </c>
      <c r="R134">
        <v>76482.81</v>
      </c>
      <c r="S134">
        <v>0</v>
      </c>
      <c r="T134" t="s">
        <v>497</v>
      </c>
    </row>
    <row r="135" spans="1:20" customHeight="1" ht="14.5">
      <c r="A135" s="178">
        <v>40</v>
      </c>
      <c r="B135" s="178" t="s">
        <v>408</v>
      </c>
      <c r="C135" s="178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497</v>
      </c>
    </row>
    <row r="136" spans="1:20">
      <c r="A136" s="178">
        <v>50</v>
      </c>
      <c r="B136" s="178" t="s">
        <v>409</v>
      </c>
      <c r="C136" s="178">
        <v>0</v>
      </c>
      <c r="D136">
        <v>0</v>
      </c>
      <c r="E136">
        <v>184970.22</v>
      </c>
      <c r="F136">
        <v>1</v>
      </c>
      <c r="G136">
        <v>184970.22</v>
      </c>
      <c r="H136">
        <v>184970.22</v>
      </c>
      <c r="I136">
        <v>1</v>
      </c>
      <c r="J136">
        <v>184970.22</v>
      </c>
      <c r="K136">
        <v>0</v>
      </c>
      <c r="L136">
        <v>0</v>
      </c>
      <c r="M136">
        <v>0</v>
      </c>
      <c r="N136">
        <v>0</v>
      </c>
      <c r="O136">
        <v>-184970.22</v>
      </c>
      <c r="P136">
        <v>-184970.22</v>
      </c>
      <c r="Q136">
        <v>0</v>
      </c>
      <c r="R136">
        <v>76482.81</v>
      </c>
      <c r="S136">
        <v>0</v>
      </c>
      <c r="T136" t="s">
        <v>497</v>
      </c>
    </row>
    <row r="137" spans="1:20">
      <c r="A137" s="178">
        <v>60</v>
      </c>
      <c r="B137" s="178" t="s">
        <v>410</v>
      </c>
      <c r="C137" s="178">
        <v>0</v>
      </c>
      <c r="D137">
        <v>0</v>
      </c>
      <c r="E137">
        <v>171995.14</v>
      </c>
      <c r="F137">
        <v>1</v>
      </c>
      <c r="G137">
        <v>171995.14</v>
      </c>
      <c r="H137">
        <v>171995.14</v>
      </c>
      <c r="I137">
        <v>1</v>
      </c>
      <c r="J137">
        <v>171995.14</v>
      </c>
      <c r="K137">
        <v>0</v>
      </c>
      <c r="L137">
        <v>0</v>
      </c>
      <c r="M137">
        <v>0</v>
      </c>
      <c r="N137">
        <v>0</v>
      </c>
      <c r="O137">
        <v>-171995.14</v>
      </c>
      <c r="P137">
        <v>-171995.14</v>
      </c>
      <c r="Q137">
        <v>0</v>
      </c>
      <c r="R137">
        <v>56831.2</v>
      </c>
      <c r="S137">
        <v>0</v>
      </c>
      <c r="T137" t="s">
        <v>497</v>
      </c>
    </row>
    <row r="138" spans="1:20">
      <c r="A138" s="178">
        <v>70</v>
      </c>
      <c r="B138" s="178" t="s">
        <v>411</v>
      </c>
      <c r="C138" s="178">
        <v>0</v>
      </c>
      <c r="D138">
        <v>0</v>
      </c>
      <c r="E138">
        <v>12975.08</v>
      </c>
      <c r="F138">
        <v>1</v>
      </c>
      <c r="G138">
        <v>12975.08</v>
      </c>
      <c r="H138">
        <v>12975.08</v>
      </c>
      <c r="I138">
        <v>1</v>
      </c>
      <c r="J138">
        <v>12975.08</v>
      </c>
      <c r="K138">
        <v>0</v>
      </c>
      <c r="L138">
        <v>0</v>
      </c>
      <c r="M138">
        <v>0</v>
      </c>
      <c r="N138">
        <v>0</v>
      </c>
      <c r="O138">
        <v>-12975.08</v>
      </c>
      <c r="P138">
        <v>-12975.08</v>
      </c>
      <c r="Q138">
        <v>0</v>
      </c>
      <c r="R138">
        <v>19651.61</v>
      </c>
      <c r="S138">
        <v>0</v>
      </c>
      <c r="T138" t="s">
        <v>497</v>
      </c>
    </row>
    <row r="139" spans="1:20" customHeight="1" ht="14.5">
      <c r="A139" s="178">
        <v>80</v>
      </c>
      <c r="B139" s="178" t="s">
        <v>412</v>
      </c>
      <c r="C139" s="178">
        <v>675</v>
      </c>
      <c r="D139">
        <v>675</v>
      </c>
      <c r="E139">
        <v>45443.76</v>
      </c>
      <c r="F139">
        <v>1</v>
      </c>
      <c r="G139">
        <v>45443.76</v>
      </c>
      <c r="H139">
        <v>45443.76</v>
      </c>
      <c r="I139">
        <v>1</v>
      </c>
      <c r="J139">
        <v>45443.76</v>
      </c>
      <c r="K139">
        <v>0</v>
      </c>
      <c r="L139">
        <v>0</v>
      </c>
      <c r="M139">
        <v>675</v>
      </c>
      <c r="N139">
        <v>675</v>
      </c>
      <c r="O139">
        <v>-44768.76</v>
      </c>
      <c r="P139">
        <v>-44768.76</v>
      </c>
      <c r="Q139">
        <v>0</v>
      </c>
      <c r="R139">
        <v>44454.3</v>
      </c>
      <c r="S139">
        <v>0</v>
      </c>
      <c r="T139" t="s">
        <v>497</v>
      </c>
    </row>
    <row r="140" spans="1:20" customHeight="1" ht="14.5">
      <c r="A140" s="178">
        <v>90</v>
      </c>
      <c r="B140" s="178" t="s">
        <v>413</v>
      </c>
      <c r="C140" s="178">
        <v>20104.1</v>
      </c>
      <c r="D140">
        <v>20104.1</v>
      </c>
      <c r="E140">
        <v>84821.49</v>
      </c>
      <c r="F140">
        <v>1</v>
      </c>
      <c r="G140">
        <v>84821.49</v>
      </c>
      <c r="H140">
        <v>84821.49</v>
      </c>
      <c r="I140">
        <v>1</v>
      </c>
      <c r="J140">
        <v>84821.49</v>
      </c>
      <c r="K140">
        <v>0</v>
      </c>
      <c r="L140">
        <v>0</v>
      </c>
      <c r="M140">
        <v>20104.1</v>
      </c>
      <c r="N140">
        <v>20104.1</v>
      </c>
      <c r="O140">
        <v>-64717.39</v>
      </c>
      <c r="P140">
        <v>-64717.39</v>
      </c>
      <c r="Q140">
        <v>0</v>
      </c>
      <c r="R140">
        <v>89480.42</v>
      </c>
      <c r="S140">
        <v>0</v>
      </c>
      <c r="T140" t="s">
        <v>497</v>
      </c>
    </row>
    <row r="141" spans="1:20" customHeight="1" ht="14.5">
      <c r="A141" s="178">
        <v>100</v>
      </c>
      <c r="B141" s="178" t="s">
        <v>414</v>
      </c>
      <c r="C141" s="178">
        <v>0</v>
      </c>
      <c r="D141">
        <v>0</v>
      </c>
      <c r="E141">
        <v>29133.18</v>
      </c>
      <c r="F141">
        <v>1</v>
      </c>
      <c r="G141">
        <v>29133.18</v>
      </c>
      <c r="H141">
        <v>29133.18</v>
      </c>
      <c r="I141">
        <v>1</v>
      </c>
      <c r="J141">
        <v>29133.18</v>
      </c>
      <c r="K141">
        <v>0</v>
      </c>
      <c r="L141">
        <v>0</v>
      </c>
      <c r="M141">
        <v>0</v>
      </c>
      <c r="N141">
        <v>0</v>
      </c>
      <c r="O141">
        <v>-29133.18</v>
      </c>
      <c r="P141">
        <v>-29133.18</v>
      </c>
      <c r="Q141">
        <v>0</v>
      </c>
      <c r="R141">
        <v>29133.18</v>
      </c>
      <c r="S141">
        <v>0</v>
      </c>
      <c r="T141" t="s">
        <v>497</v>
      </c>
    </row>
    <row r="142" spans="1:20" customHeight="1" ht="14.5">
      <c r="A142" s="178">
        <v>110</v>
      </c>
      <c r="B142" s="178" t="s">
        <v>415</v>
      </c>
      <c r="C142" s="178">
        <v>20779.1</v>
      </c>
      <c r="D142">
        <v>20779.1</v>
      </c>
      <c r="E142">
        <v>159398.43</v>
      </c>
      <c r="F142">
        <v>1</v>
      </c>
      <c r="G142">
        <v>159398.43</v>
      </c>
      <c r="H142">
        <v>159398.43</v>
      </c>
      <c r="I142">
        <v>1</v>
      </c>
      <c r="J142">
        <v>159398.43</v>
      </c>
      <c r="K142">
        <v>0</v>
      </c>
      <c r="L142">
        <v>0</v>
      </c>
      <c r="M142">
        <v>20779.1</v>
      </c>
      <c r="N142">
        <v>20779.1</v>
      </c>
      <c r="O142">
        <v>-138619.33</v>
      </c>
      <c r="P142">
        <v>-138619.33</v>
      </c>
      <c r="Q142">
        <v>0</v>
      </c>
      <c r="R142">
        <v>163067.9</v>
      </c>
      <c r="S142">
        <v>0</v>
      </c>
      <c r="T142" t="s">
        <v>497</v>
      </c>
    </row>
    <row r="143" spans="1:20" customHeight="1" ht="14.5">
      <c r="A143" s="178">
        <v>120</v>
      </c>
      <c r="B143" s="178" t="s">
        <v>416</v>
      </c>
      <c r="C143" s="178">
        <v>-20779.1</v>
      </c>
      <c r="D143">
        <v>-20779.1</v>
      </c>
      <c r="E143">
        <v>-146423.35</v>
      </c>
      <c r="F143">
        <v>1</v>
      </c>
      <c r="G143">
        <v>-146423.35</v>
      </c>
      <c r="H143">
        <v>-146423.35</v>
      </c>
      <c r="I143">
        <v>1</v>
      </c>
      <c r="J143">
        <v>-146423.35</v>
      </c>
      <c r="K143">
        <v>0</v>
      </c>
      <c r="L143">
        <v>0</v>
      </c>
      <c r="M143">
        <v>-20779.1</v>
      </c>
      <c r="N143">
        <v>-20779.1</v>
      </c>
      <c r="O143">
        <v>125644.25</v>
      </c>
      <c r="P143">
        <v>125644.25</v>
      </c>
      <c r="Q143">
        <v>0</v>
      </c>
      <c r="R143">
        <v>-143416.29</v>
      </c>
      <c r="S143">
        <v>0</v>
      </c>
      <c r="T143" t="s">
        <v>497</v>
      </c>
    </row>
    <row r="144" spans="1:20" customHeight="1" ht="14.5">
      <c r="A144" s="178">
        <v>130</v>
      </c>
      <c r="B144" s="178" t="s">
        <v>417</v>
      </c>
      <c r="C144" s="178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497</v>
      </c>
    </row>
    <row r="145" spans="1:20" customHeight="1" ht="14.5">
      <c r="A145" s="178">
        <v>135</v>
      </c>
      <c r="B145" s="178" t="s">
        <v>418</v>
      </c>
      <c r="C145" s="178">
        <v>0</v>
      </c>
      <c r="D145">
        <v>0</v>
      </c>
      <c r="E145">
        <v>-125584.13</v>
      </c>
      <c r="F145">
        <v>1</v>
      </c>
      <c r="G145">
        <v>-125584.13</v>
      </c>
      <c r="H145">
        <v>-125584.13</v>
      </c>
      <c r="I145">
        <v>1</v>
      </c>
      <c r="J145">
        <v>-125584.13</v>
      </c>
      <c r="K145">
        <v>0</v>
      </c>
      <c r="L145">
        <v>0</v>
      </c>
      <c r="M145">
        <v>0</v>
      </c>
      <c r="N145">
        <v>0</v>
      </c>
      <c r="O145">
        <v>125584.13</v>
      </c>
      <c r="P145">
        <v>125584.13</v>
      </c>
      <c r="Q145">
        <v>0</v>
      </c>
      <c r="R145">
        <v>-34419.91</v>
      </c>
      <c r="S145">
        <v>0</v>
      </c>
      <c r="T145" t="s">
        <v>497</v>
      </c>
    </row>
    <row r="146" spans="1:20" customHeight="1" ht="14.5">
      <c r="A146" s="178">
        <v>140</v>
      </c>
      <c r="B146" s="178" t="s">
        <v>419</v>
      </c>
      <c r="C146" s="178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497</v>
      </c>
    </row>
    <row r="147" spans="1:20" customHeight="1" ht="14.5">
      <c r="A147" s="178">
        <v>150</v>
      </c>
      <c r="B147" s="178" t="s">
        <v>420</v>
      </c>
      <c r="C147" s="178">
        <v>0</v>
      </c>
      <c r="D147">
        <v>0</v>
      </c>
      <c r="E147">
        <v>3.26</v>
      </c>
      <c r="F147">
        <v>1</v>
      </c>
      <c r="G147">
        <v>3.26</v>
      </c>
      <c r="H147">
        <v>3.26</v>
      </c>
      <c r="I147">
        <v>1</v>
      </c>
      <c r="J147">
        <v>3.26</v>
      </c>
      <c r="K147">
        <v>0</v>
      </c>
      <c r="L147">
        <v>0</v>
      </c>
      <c r="M147">
        <v>0</v>
      </c>
      <c r="N147">
        <v>0</v>
      </c>
      <c r="O147">
        <v>-3.26</v>
      </c>
      <c r="P147">
        <v>-3.26</v>
      </c>
      <c r="Q147">
        <v>0</v>
      </c>
      <c r="R147">
        <v>0.41</v>
      </c>
      <c r="S147">
        <v>0</v>
      </c>
      <c r="T147" t="s">
        <v>497</v>
      </c>
    </row>
    <row r="148" spans="1:20" customHeight="1" ht="14.5">
      <c r="A148" s="178">
        <v>155</v>
      </c>
      <c r="B148" s="178" t="s">
        <v>421</v>
      </c>
      <c r="C148" s="17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497</v>
      </c>
    </row>
    <row r="149" spans="1:20" customHeight="1" ht="14.5">
      <c r="A149" s="178">
        <v>160</v>
      </c>
      <c r="B149" s="178" t="s">
        <v>422</v>
      </c>
      <c r="C149" s="178">
        <v>0</v>
      </c>
      <c r="D149">
        <v>0</v>
      </c>
      <c r="E149">
        <v>-125587.39</v>
      </c>
      <c r="F149">
        <v>1</v>
      </c>
      <c r="G149">
        <v>-125587.39</v>
      </c>
      <c r="H149">
        <v>-125587.39</v>
      </c>
      <c r="I149">
        <v>1</v>
      </c>
      <c r="J149">
        <v>-125587.39</v>
      </c>
      <c r="K149">
        <v>0</v>
      </c>
      <c r="L149">
        <v>0</v>
      </c>
      <c r="M149">
        <v>0</v>
      </c>
      <c r="N149">
        <v>0</v>
      </c>
      <c r="O149">
        <v>125587.39</v>
      </c>
      <c r="P149">
        <v>125587.39</v>
      </c>
      <c r="Q149">
        <v>0</v>
      </c>
      <c r="R149">
        <v>-34420.32</v>
      </c>
      <c r="S149">
        <v>0</v>
      </c>
      <c r="T149" t="s">
        <v>497</v>
      </c>
    </row>
    <row r="150" spans="1:20" customHeight="1" ht="14.5">
      <c r="A150" s="178">
        <v>170</v>
      </c>
      <c r="B150" s="178" t="s">
        <v>423</v>
      </c>
      <c r="C150" s="178">
        <v>-20779.1</v>
      </c>
      <c r="D150">
        <v>-20779.1</v>
      </c>
      <c r="E150">
        <v>-20835.96</v>
      </c>
      <c r="F150">
        <v>1</v>
      </c>
      <c r="G150">
        <v>-20835.96</v>
      </c>
      <c r="H150">
        <v>-20835.96</v>
      </c>
      <c r="I150">
        <v>1</v>
      </c>
      <c r="J150">
        <v>-20835.96</v>
      </c>
      <c r="K150">
        <v>0</v>
      </c>
      <c r="L150">
        <v>0</v>
      </c>
      <c r="M150">
        <v>-20779.1</v>
      </c>
      <c r="N150">
        <v>-20779.1</v>
      </c>
      <c r="O150">
        <v>56.86</v>
      </c>
      <c r="P150">
        <v>56.86</v>
      </c>
      <c r="Q150">
        <v>0</v>
      </c>
      <c r="R150">
        <v>-108995.97</v>
      </c>
      <c r="S150">
        <v>0</v>
      </c>
      <c r="T150" t="s">
        <v>497</v>
      </c>
    </row>
    <row r="151" spans="1:20">
      <c r="A151" s="178">
        <v>180</v>
      </c>
      <c r="B151" s="178" t="s">
        <v>424</v>
      </c>
      <c r="C151" s="178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497</v>
      </c>
    </row>
    <row r="152" spans="1:20">
      <c r="A152" s="178">
        <v>190</v>
      </c>
      <c r="B152" s="178" t="s">
        <v>425</v>
      </c>
      <c r="C152" s="178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497</v>
      </c>
    </row>
    <row r="153" spans="1:20" customHeight="1" ht="14.5">
      <c r="A153" s="178">
        <v>200</v>
      </c>
      <c r="B153" s="178" t="s">
        <v>426</v>
      </c>
      <c r="C153" s="178">
        <v>-20779.1</v>
      </c>
      <c r="D153">
        <v>-20779.1</v>
      </c>
      <c r="E153">
        <v>-20835.96</v>
      </c>
      <c r="F153">
        <v>1</v>
      </c>
      <c r="G153">
        <v>-20835.96</v>
      </c>
      <c r="H153">
        <v>-20835.96</v>
      </c>
      <c r="I153">
        <v>1</v>
      </c>
      <c r="J153">
        <v>-20835.96</v>
      </c>
      <c r="K153">
        <v>0</v>
      </c>
      <c r="L153">
        <v>0</v>
      </c>
      <c r="M153">
        <v>-20779.1</v>
      </c>
      <c r="N153">
        <v>-20779.1</v>
      </c>
      <c r="O153">
        <v>56.86</v>
      </c>
      <c r="P153">
        <v>56.86</v>
      </c>
      <c r="Q153">
        <v>0</v>
      </c>
      <c r="R153">
        <v>-108995.97</v>
      </c>
      <c r="S153">
        <v>0</v>
      </c>
      <c r="T153" t="s">
        <v>497</v>
      </c>
    </row>
    <row r="154" spans="1:20" customHeight="1" ht="14.5">
      <c r="A154" s="178">
        <v>210</v>
      </c>
      <c r="B154" s="178" t="s">
        <v>427</v>
      </c>
      <c r="C154" s="178">
        <v>-20779.1</v>
      </c>
      <c r="D154">
        <v>-20779.1</v>
      </c>
      <c r="E154">
        <v>-117290.17</v>
      </c>
      <c r="F154">
        <v>1</v>
      </c>
      <c r="G154">
        <v>-117290.17</v>
      </c>
      <c r="H154">
        <v>-117290.17</v>
      </c>
      <c r="I154">
        <v>1</v>
      </c>
      <c r="J154">
        <v>-117290.17</v>
      </c>
      <c r="K154">
        <v>0</v>
      </c>
      <c r="L154">
        <v>0</v>
      </c>
      <c r="M154">
        <v>-20779.1</v>
      </c>
      <c r="N154">
        <v>-20779.1</v>
      </c>
      <c r="O154">
        <v>96511.07</v>
      </c>
      <c r="P154">
        <v>96511.07</v>
      </c>
      <c r="Q154">
        <v>0</v>
      </c>
      <c r="R154">
        <v>-114283.11</v>
      </c>
      <c r="S154">
        <v>0</v>
      </c>
      <c r="T154" t="s">
        <v>497</v>
      </c>
    </row>
    <row r="155" spans="1:20" s="205" customFormat="1">
      <c r="A155" s="205" t="s">
        <v>440</v>
      </c>
      <c r="B155" s="205" t="s">
        <v>402</v>
      </c>
      <c r="C155" s="205" t="s">
        <v>489</v>
      </c>
      <c r="D155" s="205" t="s">
        <v>490</v>
      </c>
      <c r="E155" s="205" t="s">
        <v>403</v>
      </c>
      <c r="F155" s="205" t="s">
        <v>498</v>
      </c>
      <c r="G155" s="205" t="s">
        <v>517</v>
      </c>
      <c r="H155" s="205" t="s">
        <v>518</v>
      </c>
      <c r="I155" s="205" t="s">
        <v>519</v>
      </c>
      <c r="J155" s="205" t="s">
        <v>520</v>
      </c>
      <c r="K155" s="205" t="s">
        <v>439</v>
      </c>
      <c r="L155" s="205" t="s">
        <v>521</v>
      </c>
      <c r="M155" s="205" t="s">
        <v>522</v>
      </c>
      <c r="N155" s="205" t="s">
        <v>523</v>
      </c>
      <c r="O155" s="205" t="s">
        <v>524</v>
      </c>
      <c r="P155" s="205" t="s">
        <v>525</v>
      </c>
      <c r="Q155" s="205" t="s">
        <v>526</v>
      </c>
      <c r="R155" s="205" t="s">
        <v>527</v>
      </c>
      <c r="S155" s="205" t="s">
        <v>528</v>
      </c>
      <c r="T155" s="205" t="s">
        <v>405</v>
      </c>
    </row>
    <row r="156" spans="1:20" customHeight="1" ht="14.5">
      <c r="A156" s="178">
        <v>30</v>
      </c>
      <c r="B156" s="178" t="s">
        <v>406</v>
      </c>
      <c r="C156" s="178">
        <v>0</v>
      </c>
      <c r="D156">
        <v>0</v>
      </c>
      <c r="E156">
        <v>5632976.48</v>
      </c>
      <c r="F156">
        <v>1</v>
      </c>
      <c r="G156">
        <v>5632976.48</v>
      </c>
      <c r="H156">
        <v>5632976.48</v>
      </c>
      <c r="I156">
        <v>1</v>
      </c>
      <c r="J156">
        <v>5632976.48</v>
      </c>
      <c r="K156">
        <v>0</v>
      </c>
      <c r="L156">
        <v>0</v>
      </c>
      <c r="M156">
        <v>0</v>
      </c>
      <c r="N156">
        <v>0</v>
      </c>
      <c r="O156">
        <v>-5632976.48</v>
      </c>
      <c r="P156">
        <v>-5632976.48</v>
      </c>
      <c r="Q156">
        <v>0</v>
      </c>
      <c r="R156">
        <v>132213.26</v>
      </c>
      <c r="S156">
        <v>0</v>
      </c>
      <c r="T156" t="s">
        <v>497</v>
      </c>
    </row>
    <row r="157" spans="1:20" customHeight="1" ht="14.5">
      <c r="A157" s="178">
        <v>40</v>
      </c>
      <c r="B157" s="178" t="s">
        <v>408</v>
      </c>
      <c r="C157" s="178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497</v>
      </c>
    </row>
    <row r="158" spans="1:20">
      <c r="A158" s="178">
        <v>50</v>
      </c>
      <c r="B158" s="178" t="s">
        <v>409</v>
      </c>
      <c r="C158" s="178">
        <v>0</v>
      </c>
      <c r="D158">
        <v>0</v>
      </c>
      <c r="E158">
        <v>5632976.48</v>
      </c>
      <c r="F158">
        <v>1</v>
      </c>
      <c r="G158">
        <v>5632976.48</v>
      </c>
      <c r="H158">
        <v>5632976.48</v>
      </c>
      <c r="I158">
        <v>1</v>
      </c>
      <c r="J158">
        <v>5632976.48</v>
      </c>
      <c r="K158">
        <v>0</v>
      </c>
      <c r="L158">
        <v>0</v>
      </c>
      <c r="M158">
        <v>0</v>
      </c>
      <c r="N158">
        <v>0</v>
      </c>
      <c r="O158">
        <v>-5632976.48</v>
      </c>
      <c r="P158">
        <v>-5632976.48</v>
      </c>
      <c r="Q158">
        <v>0</v>
      </c>
      <c r="R158">
        <v>132213.26</v>
      </c>
      <c r="S158">
        <v>0</v>
      </c>
      <c r="T158" t="s">
        <v>497</v>
      </c>
    </row>
    <row r="159" spans="1:20">
      <c r="A159" s="178">
        <v>60</v>
      </c>
      <c r="B159" s="178" t="s">
        <v>410</v>
      </c>
      <c r="C159" s="178">
        <v>0</v>
      </c>
      <c r="D159">
        <v>0</v>
      </c>
      <c r="E159">
        <v>6083635.52</v>
      </c>
      <c r="F159">
        <v>1</v>
      </c>
      <c r="G159">
        <v>6083635.52</v>
      </c>
      <c r="H159">
        <v>6083635.52</v>
      </c>
      <c r="I159">
        <v>1</v>
      </c>
      <c r="J159">
        <v>6083635.52</v>
      </c>
      <c r="K159">
        <v>0</v>
      </c>
      <c r="L159">
        <v>0</v>
      </c>
      <c r="M159">
        <v>0</v>
      </c>
      <c r="N159">
        <v>0</v>
      </c>
      <c r="O159">
        <v>-6083635.52</v>
      </c>
      <c r="P159">
        <v>-6083635.52</v>
      </c>
      <c r="Q159">
        <v>0</v>
      </c>
      <c r="R159">
        <v>251094.73</v>
      </c>
      <c r="S159">
        <v>0</v>
      </c>
      <c r="T159" t="s">
        <v>497</v>
      </c>
    </row>
    <row r="160" spans="1:20">
      <c r="A160" s="178">
        <v>70</v>
      </c>
      <c r="B160" s="178" t="s">
        <v>411</v>
      </c>
      <c r="C160" s="178">
        <v>0</v>
      </c>
      <c r="D160">
        <v>0</v>
      </c>
      <c r="E160">
        <v>-450659.04</v>
      </c>
      <c r="F160">
        <v>1</v>
      </c>
      <c r="G160">
        <v>-450659.04</v>
      </c>
      <c r="H160">
        <v>-450659.04</v>
      </c>
      <c r="I160">
        <v>1</v>
      </c>
      <c r="J160">
        <v>-450659.04</v>
      </c>
      <c r="K160">
        <v>0</v>
      </c>
      <c r="L160">
        <v>0</v>
      </c>
      <c r="M160">
        <v>0</v>
      </c>
      <c r="N160">
        <v>0</v>
      </c>
      <c r="O160">
        <v>450659.04</v>
      </c>
      <c r="P160">
        <v>450659.04</v>
      </c>
      <c r="Q160">
        <v>0</v>
      </c>
      <c r="R160">
        <v>-118881.47</v>
      </c>
      <c r="S160">
        <v>0</v>
      </c>
      <c r="T160" t="s">
        <v>497</v>
      </c>
    </row>
    <row r="161" spans="1:20" customHeight="1" ht="14.5">
      <c r="A161" s="178">
        <v>80</v>
      </c>
      <c r="B161" s="178" t="s">
        <v>412</v>
      </c>
      <c r="C161" s="178">
        <v>0</v>
      </c>
      <c r="D161">
        <v>0</v>
      </c>
      <c r="E161">
        <v>95234.91</v>
      </c>
      <c r="F161">
        <v>1</v>
      </c>
      <c r="G161">
        <v>95234.91</v>
      </c>
      <c r="H161">
        <v>95234.91</v>
      </c>
      <c r="I161">
        <v>1</v>
      </c>
      <c r="J161">
        <v>95234.91</v>
      </c>
      <c r="K161">
        <v>0</v>
      </c>
      <c r="L161">
        <v>0</v>
      </c>
      <c r="M161">
        <v>0</v>
      </c>
      <c r="N161">
        <v>0</v>
      </c>
      <c r="O161">
        <v>-95234.91</v>
      </c>
      <c r="P161">
        <v>-95234.91</v>
      </c>
      <c r="Q161">
        <v>0</v>
      </c>
      <c r="R161">
        <v>10089.27</v>
      </c>
      <c r="S161">
        <v>0</v>
      </c>
      <c r="T161" t="s">
        <v>497</v>
      </c>
    </row>
    <row r="162" spans="1:20" customHeight="1" ht="14.5">
      <c r="A162" s="178">
        <v>90</v>
      </c>
      <c r="B162" s="178" t="s">
        <v>413</v>
      </c>
      <c r="C162" s="178">
        <v>53631.16</v>
      </c>
      <c r="D162">
        <v>53631.16</v>
      </c>
      <c r="E162">
        <v>1708314.16</v>
      </c>
      <c r="F162">
        <v>1</v>
      </c>
      <c r="G162">
        <v>1708314.16</v>
      </c>
      <c r="H162">
        <v>1708314.16</v>
      </c>
      <c r="I162">
        <v>1</v>
      </c>
      <c r="J162">
        <v>1708314.16</v>
      </c>
      <c r="K162">
        <v>0</v>
      </c>
      <c r="L162">
        <v>0</v>
      </c>
      <c r="M162">
        <v>53631.16</v>
      </c>
      <c r="N162">
        <v>53631.16</v>
      </c>
      <c r="O162">
        <v>-1654683</v>
      </c>
      <c r="P162">
        <v>-1654683</v>
      </c>
      <c r="Q162">
        <v>0</v>
      </c>
      <c r="R162">
        <v>620774.59</v>
      </c>
      <c r="S162">
        <v>0</v>
      </c>
      <c r="T162" t="s">
        <v>497</v>
      </c>
    </row>
    <row r="163" spans="1:20" customHeight="1" ht="14.5">
      <c r="A163" s="178">
        <v>100</v>
      </c>
      <c r="B163" s="178" t="s">
        <v>414</v>
      </c>
      <c r="C163" s="178">
        <v>0</v>
      </c>
      <c r="D163">
        <v>0</v>
      </c>
      <c r="E163">
        <v>74781.01</v>
      </c>
      <c r="F163">
        <v>1</v>
      </c>
      <c r="G163">
        <v>74781.01</v>
      </c>
      <c r="H163">
        <v>74781.01</v>
      </c>
      <c r="I163">
        <v>1</v>
      </c>
      <c r="J163">
        <v>74781.01</v>
      </c>
      <c r="K163">
        <v>0</v>
      </c>
      <c r="L163">
        <v>0</v>
      </c>
      <c r="M163">
        <v>0</v>
      </c>
      <c r="N163">
        <v>0</v>
      </c>
      <c r="O163">
        <v>-74781.01</v>
      </c>
      <c r="P163">
        <v>-74781.01</v>
      </c>
      <c r="Q163">
        <v>0</v>
      </c>
      <c r="R163">
        <v>0</v>
      </c>
      <c r="S163">
        <v>0</v>
      </c>
      <c r="T163" t="s">
        <v>497</v>
      </c>
    </row>
    <row r="164" spans="1:20" customHeight="1" ht="14.5">
      <c r="A164" s="178">
        <v>110</v>
      </c>
      <c r="B164" s="178" t="s">
        <v>415</v>
      </c>
      <c r="C164" s="178">
        <v>53631.16</v>
      </c>
      <c r="D164">
        <v>53631.16</v>
      </c>
      <c r="E164">
        <v>1878330.08</v>
      </c>
      <c r="F164">
        <v>1</v>
      </c>
      <c r="G164">
        <v>1878330.08</v>
      </c>
      <c r="H164">
        <v>1878330.08</v>
      </c>
      <c r="I164">
        <v>1</v>
      </c>
      <c r="J164">
        <v>1878330.08</v>
      </c>
      <c r="K164">
        <v>0</v>
      </c>
      <c r="L164">
        <v>0</v>
      </c>
      <c r="M164">
        <v>53631.16</v>
      </c>
      <c r="N164">
        <v>53631.16</v>
      </c>
      <c r="O164">
        <v>-1824698.92</v>
      </c>
      <c r="P164">
        <v>-1824698.92</v>
      </c>
      <c r="Q164">
        <v>0</v>
      </c>
      <c r="R164">
        <v>630863.86</v>
      </c>
      <c r="S164">
        <v>0</v>
      </c>
      <c r="T164" t="s">
        <v>497</v>
      </c>
    </row>
    <row r="165" spans="1:20" customHeight="1" ht="14.5">
      <c r="A165" s="178">
        <v>120</v>
      </c>
      <c r="B165" s="178" t="s">
        <v>416</v>
      </c>
      <c r="C165" s="178">
        <v>-53631.16</v>
      </c>
      <c r="D165">
        <v>-53631.16</v>
      </c>
      <c r="E165">
        <v>-2328989.12</v>
      </c>
      <c r="F165">
        <v>1</v>
      </c>
      <c r="G165">
        <v>-2328989.12</v>
      </c>
      <c r="H165">
        <v>-2328989.12</v>
      </c>
      <c r="I165">
        <v>1</v>
      </c>
      <c r="J165">
        <v>-2328989.12</v>
      </c>
      <c r="K165">
        <v>0</v>
      </c>
      <c r="L165">
        <v>0</v>
      </c>
      <c r="M165">
        <v>-53631.16</v>
      </c>
      <c r="N165">
        <v>-53631.16</v>
      </c>
      <c r="O165">
        <v>2275357.96</v>
      </c>
      <c r="P165">
        <v>2275357.96</v>
      </c>
      <c r="Q165">
        <v>0</v>
      </c>
      <c r="R165">
        <v>-749745.33</v>
      </c>
      <c r="S165">
        <v>0</v>
      </c>
      <c r="T165" t="s">
        <v>497</v>
      </c>
    </row>
    <row r="166" spans="1:20" customHeight="1" ht="14.5">
      <c r="A166" s="178">
        <v>130</v>
      </c>
      <c r="B166" s="178" t="s">
        <v>417</v>
      </c>
      <c r="C166" s="178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497</v>
      </c>
    </row>
    <row r="167" spans="1:20" customHeight="1" ht="14.5">
      <c r="A167" s="178">
        <v>135</v>
      </c>
      <c r="B167" s="178" t="s">
        <v>418</v>
      </c>
      <c r="C167" s="178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497</v>
      </c>
    </row>
    <row r="168" spans="1:20" customHeight="1" ht="14.5">
      <c r="A168" s="178">
        <v>140</v>
      </c>
      <c r="B168" s="178" t="s">
        <v>419</v>
      </c>
      <c r="C168" s="178">
        <v>0</v>
      </c>
      <c r="D168">
        <v>0</v>
      </c>
      <c r="E168">
        <v>35288.15</v>
      </c>
      <c r="F168">
        <v>1</v>
      </c>
      <c r="G168">
        <v>35288.15</v>
      </c>
      <c r="H168">
        <v>35288.15</v>
      </c>
      <c r="I168">
        <v>1</v>
      </c>
      <c r="J168">
        <v>35288.15</v>
      </c>
      <c r="K168">
        <v>0</v>
      </c>
      <c r="L168">
        <v>0</v>
      </c>
      <c r="M168">
        <v>0</v>
      </c>
      <c r="N168">
        <v>0</v>
      </c>
      <c r="O168">
        <v>-35288.15</v>
      </c>
      <c r="P168">
        <v>-35288.15</v>
      </c>
      <c r="Q168">
        <v>0</v>
      </c>
      <c r="R168">
        <v>18703.11</v>
      </c>
      <c r="S168">
        <v>0</v>
      </c>
      <c r="T168" t="s">
        <v>497</v>
      </c>
    </row>
    <row r="169" spans="1:20" customHeight="1" ht="14.5">
      <c r="A169" s="178">
        <v>150</v>
      </c>
      <c r="B169" s="178" t="s">
        <v>420</v>
      </c>
      <c r="C169" s="178">
        <v>0</v>
      </c>
      <c r="D169">
        <v>0</v>
      </c>
      <c r="E169">
        <v>-65760.28</v>
      </c>
      <c r="F169">
        <v>1</v>
      </c>
      <c r="G169">
        <v>-65760.28</v>
      </c>
      <c r="H169">
        <v>-65760.28</v>
      </c>
      <c r="I169">
        <v>1</v>
      </c>
      <c r="J169">
        <v>-65760.28</v>
      </c>
      <c r="K169">
        <v>0</v>
      </c>
      <c r="L169">
        <v>0</v>
      </c>
      <c r="M169">
        <v>0</v>
      </c>
      <c r="N169">
        <v>0</v>
      </c>
      <c r="O169">
        <v>65760.28</v>
      </c>
      <c r="P169">
        <v>65760.28</v>
      </c>
      <c r="Q169">
        <v>0</v>
      </c>
      <c r="R169">
        <v>528231.14</v>
      </c>
      <c r="S169">
        <v>0</v>
      </c>
      <c r="T169" t="s">
        <v>497</v>
      </c>
    </row>
    <row r="170" spans="1:20" customHeight="1" ht="14.5">
      <c r="A170" s="178">
        <v>155</v>
      </c>
      <c r="B170" s="178" t="s">
        <v>421</v>
      </c>
      <c r="C170" s="178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497</v>
      </c>
    </row>
    <row r="171" spans="1:20" customHeight="1" ht="14.5">
      <c r="A171" s="178">
        <v>160</v>
      </c>
      <c r="B171" s="178" t="s">
        <v>422</v>
      </c>
      <c r="C171" s="178">
        <v>0</v>
      </c>
      <c r="D171">
        <v>0</v>
      </c>
      <c r="E171">
        <v>101048.43</v>
      </c>
      <c r="F171">
        <v>1</v>
      </c>
      <c r="G171">
        <v>101048.43</v>
      </c>
      <c r="H171">
        <v>101048.43</v>
      </c>
      <c r="I171">
        <v>1</v>
      </c>
      <c r="J171">
        <v>101048.43</v>
      </c>
      <c r="K171">
        <v>0</v>
      </c>
      <c r="L171">
        <v>0</v>
      </c>
      <c r="M171">
        <v>0</v>
      </c>
      <c r="N171">
        <v>0</v>
      </c>
      <c r="O171">
        <v>-101048.43</v>
      </c>
      <c r="P171">
        <v>-101048.43</v>
      </c>
      <c r="Q171">
        <v>0</v>
      </c>
      <c r="R171">
        <v>-509528.03</v>
      </c>
      <c r="S171">
        <v>0</v>
      </c>
      <c r="T171" t="s">
        <v>497</v>
      </c>
    </row>
    <row r="172" spans="1:20" customHeight="1" ht="14.5">
      <c r="A172" s="178">
        <v>170</v>
      </c>
      <c r="B172" s="178" t="s">
        <v>423</v>
      </c>
      <c r="C172" s="178">
        <v>-53631.16</v>
      </c>
      <c r="D172">
        <v>-53631.16</v>
      </c>
      <c r="E172">
        <v>-2430037.55</v>
      </c>
      <c r="F172">
        <v>1</v>
      </c>
      <c r="G172">
        <v>-2430037.55</v>
      </c>
      <c r="H172">
        <v>-2430037.55</v>
      </c>
      <c r="I172">
        <v>1</v>
      </c>
      <c r="J172">
        <v>-2430037.55</v>
      </c>
      <c r="K172">
        <v>0</v>
      </c>
      <c r="L172">
        <v>0</v>
      </c>
      <c r="M172">
        <v>-53631.16</v>
      </c>
      <c r="N172">
        <v>-53631.16</v>
      </c>
      <c r="O172">
        <v>2376406.39</v>
      </c>
      <c r="P172">
        <v>2376406.39</v>
      </c>
      <c r="Q172">
        <v>0</v>
      </c>
      <c r="R172">
        <v>-240217.3</v>
      </c>
      <c r="S172">
        <v>0</v>
      </c>
      <c r="T172" t="s">
        <v>497</v>
      </c>
    </row>
    <row r="173" spans="1:20">
      <c r="A173" s="178">
        <v>180</v>
      </c>
      <c r="B173" s="178" t="s">
        <v>424</v>
      </c>
      <c r="C173" s="178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497</v>
      </c>
    </row>
    <row r="174" spans="1:20">
      <c r="A174" s="178">
        <v>190</v>
      </c>
      <c r="B174" s="178" t="s">
        <v>425</v>
      </c>
      <c r="C174" s="178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497</v>
      </c>
    </row>
    <row r="175" spans="1:20" customHeight="1" ht="14.5">
      <c r="A175" s="178">
        <v>200</v>
      </c>
      <c r="B175" s="178" t="s">
        <v>426</v>
      </c>
      <c r="C175" s="178">
        <v>-53631.16</v>
      </c>
      <c r="D175">
        <v>-53631.16</v>
      </c>
      <c r="E175">
        <v>-2430037.55</v>
      </c>
      <c r="F175">
        <v>1</v>
      </c>
      <c r="G175">
        <v>-2430037.55</v>
      </c>
      <c r="H175">
        <v>-2430037.55</v>
      </c>
      <c r="I175">
        <v>1</v>
      </c>
      <c r="J175">
        <v>-2430037.55</v>
      </c>
      <c r="K175">
        <v>0</v>
      </c>
      <c r="L175">
        <v>0</v>
      </c>
      <c r="M175">
        <v>-53631.16</v>
      </c>
      <c r="N175">
        <v>-53631.16</v>
      </c>
      <c r="O175">
        <v>2376406.39</v>
      </c>
      <c r="P175">
        <v>2376406.39</v>
      </c>
      <c r="Q175">
        <v>0</v>
      </c>
      <c r="R175">
        <v>-240217.3</v>
      </c>
      <c r="S175">
        <v>0</v>
      </c>
      <c r="T175" t="s">
        <v>497</v>
      </c>
    </row>
    <row r="176" spans="1:20" customHeight="1" ht="14.5">
      <c r="A176" s="178">
        <v>210</v>
      </c>
      <c r="B176" s="178" t="s">
        <v>427</v>
      </c>
      <c r="C176" s="178">
        <v>-53631.16</v>
      </c>
      <c r="D176">
        <v>-53631.16</v>
      </c>
      <c r="E176">
        <v>-2254208.11</v>
      </c>
      <c r="F176">
        <v>1</v>
      </c>
      <c r="G176">
        <v>-2254208.11</v>
      </c>
      <c r="H176">
        <v>-2254208.11</v>
      </c>
      <c r="I176">
        <v>1</v>
      </c>
      <c r="J176">
        <v>-2254208.11</v>
      </c>
      <c r="K176">
        <v>0</v>
      </c>
      <c r="L176">
        <v>0</v>
      </c>
      <c r="M176">
        <v>-53631.16</v>
      </c>
      <c r="N176">
        <v>-53631.16</v>
      </c>
      <c r="O176">
        <v>2200576.95</v>
      </c>
      <c r="P176">
        <v>2200576.95</v>
      </c>
      <c r="Q176">
        <v>0</v>
      </c>
      <c r="R176">
        <v>-749745.33</v>
      </c>
      <c r="S176">
        <v>0</v>
      </c>
      <c r="T176" t="s">
        <v>497</v>
      </c>
    </row>
    <row r="177" spans="1:20" s="205" customFormat="1">
      <c r="A177" s="205" t="s">
        <v>441</v>
      </c>
      <c r="B177" s="205" t="s">
        <v>402</v>
      </c>
      <c r="C177" s="205" t="s">
        <v>489</v>
      </c>
      <c r="D177" s="205" t="s">
        <v>490</v>
      </c>
      <c r="E177" s="205" t="s">
        <v>403</v>
      </c>
      <c r="F177" s="205" t="s">
        <v>491</v>
      </c>
      <c r="G177" s="205" t="s">
        <v>492</v>
      </c>
      <c r="H177" s="205" t="s">
        <v>493</v>
      </c>
      <c r="I177" s="205" t="s">
        <v>494</v>
      </c>
      <c r="J177" s="205" t="s">
        <v>495</v>
      </c>
      <c r="K177" s="205" t="s">
        <v>404</v>
      </c>
      <c r="L177" s="205" t="s">
        <v>496</v>
      </c>
      <c r="M177" s="205" t="s">
        <v>522</v>
      </c>
      <c r="N177" s="205" t="s">
        <v>529</v>
      </c>
      <c r="O177" s="205" t="s">
        <v>530</v>
      </c>
      <c r="P177" s="205" t="s">
        <v>531</v>
      </c>
      <c r="Q177" s="205" t="s">
        <v>526</v>
      </c>
      <c r="R177" s="205" t="s">
        <v>527</v>
      </c>
      <c r="S177" s="205" t="s">
        <v>528</v>
      </c>
      <c r="T177" s="205" t="s">
        <v>405</v>
      </c>
    </row>
    <row r="178" spans="1:20" customHeight="1" ht="14.5">
      <c r="A178" s="178">
        <v>30</v>
      </c>
      <c r="B178" s="178" t="s">
        <v>406</v>
      </c>
      <c r="C178" s="178">
        <v>0</v>
      </c>
      <c r="D178">
        <v>0</v>
      </c>
      <c r="E178">
        <v>795704.86</v>
      </c>
      <c r="F178">
        <v>1</v>
      </c>
      <c r="G178">
        <v>795704.86</v>
      </c>
      <c r="H178">
        <v>795704.86</v>
      </c>
      <c r="I178">
        <v>1</v>
      </c>
      <c r="J178">
        <v>795704.86</v>
      </c>
      <c r="K178">
        <v>0</v>
      </c>
      <c r="L178">
        <v>0</v>
      </c>
      <c r="M178">
        <v>0</v>
      </c>
      <c r="N178">
        <v>0</v>
      </c>
      <c r="O178">
        <v>-795704.86</v>
      </c>
      <c r="P178">
        <v>-795704.86</v>
      </c>
      <c r="Q178">
        <v>0</v>
      </c>
      <c r="R178">
        <v>608784.26</v>
      </c>
      <c r="S178">
        <v>0</v>
      </c>
      <c r="T178" t="s">
        <v>497</v>
      </c>
    </row>
    <row r="179" spans="1:20" customHeight="1" ht="14.5">
      <c r="A179" s="178">
        <v>40</v>
      </c>
      <c r="B179" s="178" t="s">
        <v>408</v>
      </c>
      <c r="C179" s="178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497</v>
      </c>
    </row>
    <row r="180" spans="1:20">
      <c r="A180" s="178">
        <v>50</v>
      </c>
      <c r="B180" s="178" t="s">
        <v>409</v>
      </c>
      <c r="C180" s="178">
        <v>0</v>
      </c>
      <c r="D180">
        <v>0</v>
      </c>
      <c r="E180">
        <v>795704.86</v>
      </c>
      <c r="F180">
        <v>1</v>
      </c>
      <c r="G180">
        <v>795704.86</v>
      </c>
      <c r="H180">
        <v>795704.86</v>
      </c>
      <c r="I180">
        <v>1</v>
      </c>
      <c r="J180">
        <v>795704.86</v>
      </c>
      <c r="K180">
        <v>0</v>
      </c>
      <c r="L180">
        <v>0</v>
      </c>
      <c r="M180">
        <v>0</v>
      </c>
      <c r="N180">
        <v>0</v>
      </c>
      <c r="O180">
        <v>-795704.86</v>
      </c>
      <c r="P180">
        <v>-795704.86</v>
      </c>
      <c r="Q180">
        <v>0</v>
      </c>
      <c r="R180">
        <v>608784.26</v>
      </c>
      <c r="S180">
        <v>0</v>
      </c>
      <c r="T180" t="s">
        <v>497</v>
      </c>
    </row>
    <row r="181" spans="1:20">
      <c r="A181" s="178">
        <v>60</v>
      </c>
      <c r="B181" s="178" t="s">
        <v>410</v>
      </c>
      <c r="C181" s="178">
        <v>0</v>
      </c>
      <c r="D181">
        <v>0</v>
      </c>
      <c r="E181">
        <v>794957.39</v>
      </c>
      <c r="F181">
        <v>1</v>
      </c>
      <c r="G181">
        <v>794957.39</v>
      </c>
      <c r="H181">
        <v>794957.39</v>
      </c>
      <c r="I181">
        <v>1</v>
      </c>
      <c r="J181">
        <v>794957.39</v>
      </c>
      <c r="K181">
        <v>0</v>
      </c>
      <c r="L181">
        <v>0</v>
      </c>
      <c r="M181">
        <v>0</v>
      </c>
      <c r="N181">
        <v>0</v>
      </c>
      <c r="O181">
        <v>-794957.39</v>
      </c>
      <c r="P181">
        <v>-794957.39</v>
      </c>
      <c r="Q181">
        <v>0</v>
      </c>
      <c r="R181">
        <v>626576.77</v>
      </c>
      <c r="S181">
        <v>0</v>
      </c>
      <c r="T181" t="s">
        <v>497</v>
      </c>
    </row>
    <row r="182" spans="1:20">
      <c r="A182" s="178">
        <v>70</v>
      </c>
      <c r="B182" s="178" t="s">
        <v>411</v>
      </c>
      <c r="C182" s="178">
        <v>0</v>
      </c>
      <c r="D182">
        <v>0</v>
      </c>
      <c r="E182">
        <v>747.47</v>
      </c>
      <c r="F182">
        <v>1</v>
      </c>
      <c r="G182">
        <v>747.47</v>
      </c>
      <c r="H182">
        <v>747.47</v>
      </c>
      <c r="I182">
        <v>1</v>
      </c>
      <c r="J182">
        <v>747.47</v>
      </c>
      <c r="K182">
        <v>0</v>
      </c>
      <c r="L182">
        <v>0</v>
      </c>
      <c r="M182">
        <v>0</v>
      </c>
      <c r="N182">
        <v>0</v>
      </c>
      <c r="O182">
        <v>-747.47</v>
      </c>
      <c r="P182">
        <v>-747.47</v>
      </c>
      <c r="Q182">
        <v>0</v>
      </c>
      <c r="R182">
        <v>-17792.51</v>
      </c>
      <c r="S182">
        <v>0</v>
      </c>
      <c r="T182" t="s">
        <v>497</v>
      </c>
    </row>
    <row r="183" spans="1:20" customHeight="1" ht="14.5">
      <c r="A183" s="178">
        <v>80</v>
      </c>
      <c r="B183" s="178" t="s">
        <v>412</v>
      </c>
      <c r="C183" s="178">
        <v>0</v>
      </c>
      <c r="D183">
        <v>0</v>
      </c>
      <c r="E183">
        <v>54360.73</v>
      </c>
      <c r="F183">
        <v>1</v>
      </c>
      <c r="G183">
        <v>54360.73</v>
      </c>
      <c r="H183">
        <v>54360.73</v>
      </c>
      <c r="I183">
        <v>1</v>
      </c>
      <c r="J183">
        <v>54360.73</v>
      </c>
      <c r="K183">
        <v>0</v>
      </c>
      <c r="L183">
        <v>0</v>
      </c>
      <c r="M183">
        <v>0</v>
      </c>
      <c r="N183">
        <v>0</v>
      </c>
      <c r="O183">
        <v>-54360.73</v>
      </c>
      <c r="P183">
        <v>-54360.73</v>
      </c>
      <c r="Q183">
        <v>0</v>
      </c>
      <c r="R183">
        <v>52869.56</v>
      </c>
      <c r="S183">
        <v>0</v>
      </c>
      <c r="T183" t="s">
        <v>497</v>
      </c>
    </row>
    <row r="184" spans="1:20" customHeight="1" ht="14.5">
      <c r="A184" s="178">
        <v>90</v>
      </c>
      <c r="B184" s="178" t="s">
        <v>413</v>
      </c>
      <c r="C184" s="178">
        <v>975</v>
      </c>
      <c r="D184">
        <v>975</v>
      </c>
      <c r="E184">
        <v>75046.73</v>
      </c>
      <c r="F184">
        <v>1</v>
      </c>
      <c r="G184">
        <v>75046.73</v>
      </c>
      <c r="H184">
        <v>75046.73</v>
      </c>
      <c r="I184">
        <v>1</v>
      </c>
      <c r="J184">
        <v>75046.73</v>
      </c>
      <c r="K184">
        <v>0</v>
      </c>
      <c r="L184">
        <v>0</v>
      </c>
      <c r="M184">
        <v>975</v>
      </c>
      <c r="N184">
        <v>975</v>
      </c>
      <c r="O184">
        <v>-74071.73</v>
      </c>
      <c r="P184">
        <v>-74071.73</v>
      </c>
      <c r="Q184">
        <v>0</v>
      </c>
      <c r="R184">
        <v>376560.13</v>
      </c>
      <c r="S184">
        <v>0</v>
      </c>
      <c r="T184" t="s">
        <v>497</v>
      </c>
    </row>
    <row r="185" spans="1:20" customHeight="1" ht="14.5">
      <c r="A185" s="178">
        <v>100</v>
      </c>
      <c r="B185" s="178" t="s">
        <v>414</v>
      </c>
      <c r="C185" s="178">
        <v>0</v>
      </c>
      <c r="D185">
        <v>0</v>
      </c>
      <c r="E185">
        <v>936.71</v>
      </c>
      <c r="F185">
        <v>1</v>
      </c>
      <c r="G185">
        <v>936.71</v>
      </c>
      <c r="H185">
        <v>936.71</v>
      </c>
      <c r="I185">
        <v>1</v>
      </c>
      <c r="J185">
        <v>936.71</v>
      </c>
      <c r="K185">
        <v>0</v>
      </c>
      <c r="L185">
        <v>0</v>
      </c>
      <c r="M185">
        <v>0</v>
      </c>
      <c r="N185">
        <v>0</v>
      </c>
      <c r="O185">
        <v>-936.71</v>
      </c>
      <c r="P185">
        <v>-936.71</v>
      </c>
      <c r="Q185">
        <v>0</v>
      </c>
      <c r="R185">
        <v>936.71</v>
      </c>
      <c r="S185">
        <v>0</v>
      </c>
      <c r="T185" t="s">
        <v>497</v>
      </c>
    </row>
    <row r="186" spans="1:20" customHeight="1" ht="14.5">
      <c r="A186" s="178">
        <v>110</v>
      </c>
      <c r="B186" s="178" t="s">
        <v>415</v>
      </c>
      <c r="C186" s="178">
        <v>975</v>
      </c>
      <c r="D186">
        <v>975</v>
      </c>
      <c r="E186">
        <v>130344.17</v>
      </c>
      <c r="F186">
        <v>1</v>
      </c>
      <c r="G186">
        <v>130344.17</v>
      </c>
      <c r="H186">
        <v>130344.17</v>
      </c>
      <c r="I186">
        <v>1</v>
      </c>
      <c r="J186">
        <v>130344.17</v>
      </c>
      <c r="K186">
        <v>0</v>
      </c>
      <c r="L186">
        <v>0</v>
      </c>
      <c r="M186">
        <v>975</v>
      </c>
      <c r="N186">
        <v>975</v>
      </c>
      <c r="O186">
        <v>-129369.17</v>
      </c>
      <c r="P186">
        <v>-129369.17</v>
      </c>
      <c r="Q186">
        <v>0</v>
      </c>
      <c r="R186">
        <v>430366.4</v>
      </c>
      <c r="S186">
        <v>0</v>
      </c>
      <c r="T186" t="s">
        <v>497</v>
      </c>
    </row>
    <row r="187" spans="1:20" customHeight="1" ht="14.5">
      <c r="A187" s="178">
        <v>120</v>
      </c>
      <c r="B187" s="178" t="s">
        <v>416</v>
      </c>
      <c r="C187" s="178">
        <v>-975</v>
      </c>
      <c r="D187">
        <v>-975</v>
      </c>
      <c r="E187">
        <v>-129596.7</v>
      </c>
      <c r="F187">
        <v>1</v>
      </c>
      <c r="G187">
        <v>-129596.7</v>
      </c>
      <c r="H187">
        <v>-129596.7</v>
      </c>
      <c r="I187">
        <v>1</v>
      </c>
      <c r="J187">
        <v>-129596.7</v>
      </c>
      <c r="K187">
        <v>0</v>
      </c>
      <c r="L187">
        <v>0</v>
      </c>
      <c r="M187">
        <v>-975</v>
      </c>
      <c r="N187">
        <v>-975</v>
      </c>
      <c r="O187">
        <v>128621.7</v>
      </c>
      <c r="P187">
        <v>128621.7</v>
      </c>
      <c r="Q187">
        <v>0</v>
      </c>
      <c r="R187">
        <v>-448158.91</v>
      </c>
      <c r="S187">
        <v>0</v>
      </c>
      <c r="T187" t="s">
        <v>497</v>
      </c>
    </row>
    <row r="188" spans="1:20" customHeight="1" ht="14.5">
      <c r="A188" s="178">
        <v>130</v>
      </c>
      <c r="B188" s="178" t="s">
        <v>417</v>
      </c>
      <c r="C188" s="17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497</v>
      </c>
    </row>
    <row r="189" spans="1:20" customHeight="1" ht="14.5">
      <c r="A189" s="178">
        <v>135</v>
      </c>
      <c r="B189" s="178" t="s">
        <v>418</v>
      </c>
      <c r="C189" s="178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497</v>
      </c>
    </row>
    <row r="190" spans="1:20" customHeight="1" ht="14.5">
      <c r="A190" s="178">
        <v>140</v>
      </c>
      <c r="B190" s="178" t="s">
        <v>419</v>
      </c>
      <c r="C190" s="178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497</v>
      </c>
    </row>
    <row r="191" spans="1:20" customHeight="1" ht="14.5">
      <c r="A191" s="178">
        <v>150</v>
      </c>
      <c r="B191" s="178" t="s">
        <v>420</v>
      </c>
      <c r="C191" s="178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497</v>
      </c>
    </row>
    <row r="192" spans="1:20" customHeight="1" ht="14.5">
      <c r="A192" s="178">
        <v>155</v>
      </c>
      <c r="B192" s="178" t="s">
        <v>421</v>
      </c>
      <c r="C192" s="178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497</v>
      </c>
    </row>
    <row r="193" spans="1:20" customHeight="1" ht="14.5">
      <c r="A193" s="178">
        <v>160</v>
      </c>
      <c r="B193" s="178" t="s">
        <v>422</v>
      </c>
      <c r="C193" s="178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497</v>
      </c>
    </row>
    <row r="194" spans="1:20" customHeight="1" ht="14.5">
      <c r="A194" s="178">
        <v>170</v>
      </c>
      <c r="B194" s="178" t="s">
        <v>423</v>
      </c>
      <c r="C194" s="178">
        <v>-975</v>
      </c>
      <c r="D194">
        <v>-975</v>
      </c>
      <c r="E194">
        <v>-129596.7</v>
      </c>
      <c r="F194">
        <v>1</v>
      </c>
      <c r="G194">
        <v>-129596.7</v>
      </c>
      <c r="H194">
        <v>-129596.7</v>
      </c>
      <c r="I194">
        <v>1</v>
      </c>
      <c r="J194">
        <v>-129596.7</v>
      </c>
      <c r="K194">
        <v>0</v>
      </c>
      <c r="L194">
        <v>0</v>
      </c>
      <c r="M194">
        <v>-975</v>
      </c>
      <c r="N194">
        <v>-975</v>
      </c>
      <c r="O194">
        <v>128621.7</v>
      </c>
      <c r="P194">
        <v>128621.7</v>
      </c>
      <c r="Q194">
        <v>0</v>
      </c>
      <c r="R194">
        <v>-448158.91</v>
      </c>
      <c r="S194">
        <v>0</v>
      </c>
      <c r="T194" t="s">
        <v>497</v>
      </c>
    </row>
    <row r="195" spans="1:20">
      <c r="A195" s="178">
        <v>180</v>
      </c>
      <c r="B195" s="178" t="s">
        <v>424</v>
      </c>
      <c r="C195" s="178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497</v>
      </c>
    </row>
    <row r="196" spans="1:20">
      <c r="A196" s="178">
        <v>190</v>
      </c>
      <c r="B196" s="178" t="s">
        <v>425</v>
      </c>
      <c r="C196" s="178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497</v>
      </c>
    </row>
    <row r="197" spans="1:20" customHeight="1" ht="14.5">
      <c r="A197" s="178">
        <v>200</v>
      </c>
      <c r="B197" s="178" t="s">
        <v>426</v>
      </c>
      <c r="C197" s="178">
        <v>-975</v>
      </c>
      <c r="D197">
        <v>-975</v>
      </c>
      <c r="E197">
        <v>-129596.7</v>
      </c>
      <c r="F197">
        <v>1</v>
      </c>
      <c r="G197">
        <v>-129596.7</v>
      </c>
      <c r="H197">
        <v>-129596.7</v>
      </c>
      <c r="I197">
        <v>1</v>
      </c>
      <c r="J197">
        <v>-129596.7</v>
      </c>
      <c r="K197">
        <v>0</v>
      </c>
      <c r="L197">
        <v>0</v>
      </c>
      <c r="M197">
        <v>-975</v>
      </c>
      <c r="N197">
        <v>-975</v>
      </c>
      <c r="O197">
        <v>128621.7</v>
      </c>
      <c r="P197">
        <v>128621.7</v>
      </c>
      <c r="Q197">
        <v>0</v>
      </c>
      <c r="R197">
        <v>-448158.91</v>
      </c>
      <c r="S197">
        <v>0</v>
      </c>
      <c r="T197" t="s">
        <v>497</v>
      </c>
    </row>
    <row r="198" spans="1:20" customHeight="1" ht="14.5">
      <c r="A198" s="178">
        <v>210</v>
      </c>
      <c r="B198" s="178" t="s">
        <v>427</v>
      </c>
      <c r="C198" s="178">
        <v>-975</v>
      </c>
      <c r="D198">
        <v>-975</v>
      </c>
      <c r="E198">
        <v>-128659.99</v>
      </c>
      <c r="F198">
        <v>1</v>
      </c>
      <c r="G198">
        <v>-128659.99</v>
      </c>
      <c r="H198">
        <v>-128659.99</v>
      </c>
      <c r="I198">
        <v>1</v>
      </c>
      <c r="J198">
        <v>-128659.99</v>
      </c>
      <c r="K198">
        <v>0</v>
      </c>
      <c r="L198">
        <v>0</v>
      </c>
      <c r="M198">
        <v>-975</v>
      </c>
      <c r="N198">
        <v>-975</v>
      </c>
      <c r="O198">
        <v>127684.99</v>
      </c>
      <c r="P198">
        <v>127684.99</v>
      </c>
      <c r="Q198">
        <v>0</v>
      </c>
      <c r="R198">
        <v>-447222.2</v>
      </c>
      <c r="S198">
        <v>0</v>
      </c>
      <c r="T198" t="s">
        <v>497</v>
      </c>
    </row>
    <row r="199" spans="1:20" s="205" customFormat="1">
      <c r="A199" s="205" t="s">
        <v>442</v>
      </c>
      <c r="B199" s="205" t="s">
        <v>402</v>
      </c>
      <c r="C199" s="205" t="s">
        <v>489</v>
      </c>
      <c r="D199" s="205" t="s">
        <v>490</v>
      </c>
      <c r="E199" s="205" t="s">
        <v>403</v>
      </c>
      <c r="F199" s="205" t="s">
        <v>498</v>
      </c>
      <c r="G199" s="205" t="s">
        <v>517</v>
      </c>
      <c r="H199" s="205" t="s">
        <v>518</v>
      </c>
      <c r="I199" s="205" t="s">
        <v>519</v>
      </c>
      <c r="J199" s="205" t="s">
        <v>520</v>
      </c>
      <c r="K199" s="205" t="s">
        <v>439</v>
      </c>
      <c r="L199" s="205" t="s">
        <v>521</v>
      </c>
      <c r="M199" s="205" t="s">
        <v>522</v>
      </c>
      <c r="N199" s="205" t="s">
        <v>523</v>
      </c>
      <c r="O199" s="205" t="s">
        <v>524</v>
      </c>
      <c r="P199" s="205" t="s">
        <v>525</v>
      </c>
      <c r="Q199" s="205" t="s">
        <v>526</v>
      </c>
      <c r="R199" s="205" t="s">
        <v>527</v>
      </c>
      <c r="S199" s="205" t="s">
        <v>528</v>
      </c>
      <c r="T199" s="205" t="s">
        <v>405</v>
      </c>
    </row>
    <row r="200" spans="1:20" customHeight="1" ht="14.5">
      <c r="A200" s="178">
        <v>30</v>
      </c>
      <c r="B200" s="178" t="s">
        <v>406</v>
      </c>
      <c r="C200" s="178">
        <v>0</v>
      </c>
      <c r="D200">
        <v>0</v>
      </c>
      <c r="E200">
        <v>359220.19</v>
      </c>
      <c r="F200">
        <v>1</v>
      </c>
      <c r="G200">
        <v>359220.19</v>
      </c>
      <c r="H200">
        <v>359220.19</v>
      </c>
      <c r="I200">
        <v>1</v>
      </c>
      <c r="J200">
        <v>359220.19</v>
      </c>
      <c r="K200">
        <v>0</v>
      </c>
      <c r="L200">
        <v>0</v>
      </c>
      <c r="M200">
        <v>0</v>
      </c>
      <c r="N200">
        <v>0</v>
      </c>
      <c r="O200">
        <v>-359220.19</v>
      </c>
      <c r="P200">
        <v>-359220.19</v>
      </c>
      <c r="Q200">
        <v>0</v>
      </c>
      <c r="R200">
        <v>27902.57</v>
      </c>
      <c r="S200">
        <v>0</v>
      </c>
      <c r="T200" t="s">
        <v>497</v>
      </c>
    </row>
    <row r="201" spans="1:20" customHeight="1" ht="14.5">
      <c r="A201" s="178">
        <v>40</v>
      </c>
      <c r="B201" s="178" t="s">
        <v>408</v>
      </c>
      <c r="C201" s="178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497</v>
      </c>
    </row>
    <row r="202" spans="1:20">
      <c r="A202" s="178">
        <v>50</v>
      </c>
      <c r="B202" s="178" t="s">
        <v>409</v>
      </c>
      <c r="C202" s="178">
        <v>0</v>
      </c>
      <c r="D202">
        <v>0</v>
      </c>
      <c r="E202">
        <v>359220.19</v>
      </c>
      <c r="F202">
        <v>1</v>
      </c>
      <c r="G202">
        <v>359220.19</v>
      </c>
      <c r="H202">
        <v>359220.19</v>
      </c>
      <c r="I202">
        <v>1</v>
      </c>
      <c r="J202">
        <v>359220.19</v>
      </c>
      <c r="K202">
        <v>0</v>
      </c>
      <c r="L202">
        <v>0</v>
      </c>
      <c r="M202">
        <v>0</v>
      </c>
      <c r="N202">
        <v>0</v>
      </c>
      <c r="O202">
        <v>-359220.19</v>
      </c>
      <c r="P202">
        <v>-359220.19</v>
      </c>
      <c r="Q202">
        <v>0</v>
      </c>
      <c r="R202">
        <v>27902.57</v>
      </c>
      <c r="S202">
        <v>0</v>
      </c>
      <c r="T202" t="s">
        <v>497</v>
      </c>
    </row>
    <row r="203" spans="1:20">
      <c r="A203" s="178">
        <v>60</v>
      </c>
      <c r="B203" s="178" t="s">
        <v>410</v>
      </c>
      <c r="C203" s="178">
        <v>0</v>
      </c>
      <c r="D203">
        <v>0</v>
      </c>
      <c r="E203">
        <v>346919.35</v>
      </c>
      <c r="F203">
        <v>1</v>
      </c>
      <c r="G203">
        <v>346919.35</v>
      </c>
      <c r="H203">
        <v>346919.35</v>
      </c>
      <c r="I203">
        <v>1</v>
      </c>
      <c r="J203">
        <v>346919.35</v>
      </c>
      <c r="K203">
        <v>0</v>
      </c>
      <c r="L203">
        <v>0</v>
      </c>
      <c r="M203">
        <v>0</v>
      </c>
      <c r="N203">
        <v>0</v>
      </c>
      <c r="O203">
        <v>-346919.35</v>
      </c>
      <c r="P203">
        <v>-346919.35</v>
      </c>
      <c r="Q203">
        <v>0</v>
      </c>
      <c r="R203">
        <v>24263.34</v>
      </c>
      <c r="S203">
        <v>0</v>
      </c>
      <c r="T203" t="s">
        <v>497</v>
      </c>
    </row>
    <row r="204" spans="1:20">
      <c r="A204" s="178">
        <v>70</v>
      </c>
      <c r="B204" s="178" t="s">
        <v>411</v>
      </c>
      <c r="C204" s="178">
        <v>0</v>
      </c>
      <c r="D204">
        <v>0</v>
      </c>
      <c r="E204">
        <v>12300.84</v>
      </c>
      <c r="F204">
        <v>1</v>
      </c>
      <c r="G204">
        <v>12300.84</v>
      </c>
      <c r="H204">
        <v>12300.84</v>
      </c>
      <c r="I204">
        <v>1</v>
      </c>
      <c r="J204">
        <v>12300.84</v>
      </c>
      <c r="K204">
        <v>0</v>
      </c>
      <c r="L204">
        <v>0</v>
      </c>
      <c r="M204">
        <v>0</v>
      </c>
      <c r="N204">
        <v>0</v>
      </c>
      <c r="O204">
        <v>-12300.84</v>
      </c>
      <c r="P204">
        <v>-12300.84</v>
      </c>
      <c r="Q204">
        <v>0</v>
      </c>
      <c r="R204">
        <v>3639.23</v>
      </c>
      <c r="S204">
        <v>0</v>
      </c>
      <c r="T204" t="s">
        <v>497</v>
      </c>
    </row>
    <row r="205" spans="1:20" customHeight="1" ht="14.5">
      <c r="A205" s="178">
        <v>80</v>
      </c>
      <c r="B205" s="178" t="s">
        <v>412</v>
      </c>
      <c r="C205" s="178">
        <v>0</v>
      </c>
      <c r="D205">
        <v>0</v>
      </c>
      <c r="E205">
        <v>89530.26</v>
      </c>
      <c r="F205">
        <v>1</v>
      </c>
      <c r="G205">
        <v>89530.26</v>
      </c>
      <c r="H205">
        <v>89530.26</v>
      </c>
      <c r="I205">
        <v>1</v>
      </c>
      <c r="J205">
        <v>89530.26</v>
      </c>
      <c r="K205">
        <v>0</v>
      </c>
      <c r="L205">
        <v>0</v>
      </c>
      <c r="M205">
        <v>0</v>
      </c>
      <c r="N205">
        <v>0</v>
      </c>
      <c r="O205">
        <v>-89530.26</v>
      </c>
      <c r="P205">
        <v>-89530.26</v>
      </c>
      <c r="Q205">
        <v>0</v>
      </c>
      <c r="R205">
        <v>-4873.02</v>
      </c>
      <c r="S205">
        <v>0</v>
      </c>
      <c r="T205" t="s">
        <v>497</v>
      </c>
    </row>
    <row r="206" spans="1:20" customHeight="1" ht="14.5">
      <c r="A206" s="178">
        <v>90</v>
      </c>
      <c r="B206" s="178" t="s">
        <v>413</v>
      </c>
      <c r="C206" s="178">
        <v>1253</v>
      </c>
      <c r="D206">
        <v>1253</v>
      </c>
      <c r="E206">
        <v>1419181.9</v>
      </c>
      <c r="F206">
        <v>1</v>
      </c>
      <c r="G206">
        <v>1419181.9</v>
      </c>
      <c r="H206">
        <v>1419181.9</v>
      </c>
      <c r="I206">
        <v>1</v>
      </c>
      <c r="J206">
        <v>1419181.9</v>
      </c>
      <c r="K206">
        <v>0</v>
      </c>
      <c r="L206">
        <v>0</v>
      </c>
      <c r="M206">
        <v>1253</v>
      </c>
      <c r="N206">
        <v>1253</v>
      </c>
      <c r="O206">
        <v>-1417928.9</v>
      </c>
      <c r="P206">
        <v>-1417928.9</v>
      </c>
      <c r="Q206">
        <v>0</v>
      </c>
      <c r="R206">
        <v>124682.21</v>
      </c>
      <c r="S206">
        <v>0</v>
      </c>
      <c r="T206" t="s">
        <v>497</v>
      </c>
    </row>
    <row r="207" spans="1:20" customHeight="1" ht="14.5">
      <c r="A207" s="178">
        <v>100</v>
      </c>
      <c r="B207" s="178" t="s">
        <v>414</v>
      </c>
      <c r="C207" s="178">
        <v>0</v>
      </c>
      <c r="D207">
        <v>0</v>
      </c>
      <c r="E207">
        <v>153198.14</v>
      </c>
      <c r="F207">
        <v>1</v>
      </c>
      <c r="G207">
        <v>153198.14</v>
      </c>
      <c r="H207">
        <v>153198.14</v>
      </c>
      <c r="I207">
        <v>1</v>
      </c>
      <c r="J207">
        <v>153198.14</v>
      </c>
      <c r="K207">
        <v>0</v>
      </c>
      <c r="L207">
        <v>0</v>
      </c>
      <c r="M207">
        <v>0</v>
      </c>
      <c r="N207">
        <v>0</v>
      </c>
      <c r="O207">
        <v>-153198.14</v>
      </c>
      <c r="P207">
        <v>-153198.14</v>
      </c>
      <c r="Q207">
        <v>0</v>
      </c>
      <c r="R207">
        <v>151289.02</v>
      </c>
      <c r="S207">
        <v>0</v>
      </c>
      <c r="T207" t="s">
        <v>497</v>
      </c>
    </row>
    <row r="208" spans="1:20" customHeight="1" ht="14.5">
      <c r="A208" s="178">
        <v>110</v>
      </c>
      <c r="B208" s="178" t="s">
        <v>415</v>
      </c>
      <c r="C208" s="178">
        <v>1253</v>
      </c>
      <c r="D208">
        <v>1253</v>
      </c>
      <c r="E208">
        <v>1661910.3</v>
      </c>
      <c r="F208">
        <v>1</v>
      </c>
      <c r="G208">
        <v>1661910.3</v>
      </c>
      <c r="H208">
        <v>1661910.3</v>
      </c>
      <c r="I208">
        <v>1</v>
      </c>
      <c r="J208">
        <v>1661910.3</v>
      </c>
      <c r="K208">
        <v>0</v>
      </c>
      <c r="L208">
        <v>0</v>
      </c>
      <c r="M208">
        <v>1253</v>
      </c>
      <c r="N208">
        <v>1253</v>
      </c>
      <c r="O208">
        <v>-1660657.3</v>
      </c>
      <c r="P208">
        <v>-1660657.3</v>
      </c>
      <c r="Q208">
        <v>0</v>
      </c>
      <c r="R208">
        <v>271098.21</v>
      </c>
      <c r="S208">
        <v>0</v>
      </c>
      <c r="T208" t="s">
        <v>497</v>
      </c>
    </row>
    <row r="209" spans="1:20" customHeight="1" ht="14.5">
      <c r="A209" s="178">
        <v>120</v>
      </c>
      <c r="B209" s="178" t="s">
        <v>416</v>
      </c>
      <c r="C209" s="178">
        <v>-1253</v>
      </c>
      <c r="D209">
        <v>-1253</v>
      </c>
      <c r="E209">
        <v>-1649609.46</v>
      </c>
      <c r="F209">
        <v>1</v>
      </c>
      <c r="G209">
        <v>-1649609.46</v>
      </c>
      <c r="H209">
        <v>-1649609.46</v>
      </c>
      <c r="I209">
        <v>1</v>
      </c>
      <c r="J209">
        <v>-1649609.46</v>
      </c>
      <c r="K209">
        <v>0</v>
      </c>
      <c r="L209">
        <v>0</v>
      </c>
      <c r="M209">
        <v>-1253</v>
      </c>
      <c r="N209">
        <v>-1253</v>
      </c>
      <c r="O209">
        <v>1648356.46</v>
      </c>
      <c r="P209">
        <v>1648356.46</v>
      </c>
      <c r="Q209">
        <v>0</v>
      </c>
      <c r="R209">
        <v>-267458.98</v>
      </c>
      <c r="S209">
        <v>0</v>
      </c>
      <c r="T209" t="s">
        <v>497</v>
      </c>
    </row>
    <row r="210" spans="1:20" customHeight="1" ht="14.5">
      <c r="A210" s="178">
        <v>130</v>
      </c>
      <c r="B210" s="178" t="s">
        <v>417</v>
      </c>
      <c r="C210" s="178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497</v>
      </c>
    </row>
    <row r="211" spans="1:20" customHeight="1" ht="14.5">
      <c r="A211" s="178">
        <v>135</v>
      </c>
      <c r="B211" s="178" t="s">
        <v>418</v>
      </c>
      <c r="C211" s="178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497</v>
      </c>
    </row>
    <row r="212" spans="1:20" customHeight="1" ht="14.5">
      <c r="A212" s="178">
        <v>140</v>
      </c>
      <c r="B212" s="178" t="s">
        <v>419</v>
      </c>
      <c r="C212" s="178">
        <v>0</v>
      </c>
      <c r="D212">
        <v>0</v>
      </c>
      <c r="E212">
        <v>1023.94</v>
      </c>
      <c r="F212">
        <v>1</v>
      </c>
      <c r="G212">
        <v>1023.94</v>
      </c>
      <c r="H212">
        <v>1023.94</v>
      </c>
      <c r="I212">
        <v>1</v>
      </c>
      <c r="J212">
        <v>1023.94</v>
      </c>
      <c r="K212">
        <v>0</v>
      </c>
      <c r="L212">
        <v>0</v>
      </c>
      <c r="M212">
        <v>0</v>
      </c>
      <c r="N212">
        <v>0</v>
      </c>
      <c r="O212">
        <v>-1023.94</v>
      </c>
      <c r="P212">
        <v>-1023.94</v>
      </c>
      <c r="Q212">
        <v>0</v>
      </c>
      <c r="R212">
        <v>7186.53</v>
      </c>
      <c r="S212">
        <v>0</v>
      </c>
      <c r="T212" t="s">
        <v>497</v>
      </c>
    </row>
    <row r="213" spans="1:20" customHeight="1" ht="14.5">
      <c r="A213" s="178">
        <v>150</v>
      </c>
      <c r="B213" s="178" t="s">
        <v>420</v>
      </c>
      <c r="C213" s="178">
        <v>0</v>
      </c>
      <c r="D213">
        <v>0</v>
      </c>
      <c r="E213">
        <v>5.12</v>
      </c>
      <c r="F213">
        <v>1</v>
      </c>
      <c r="G213">
        <v>5.12</v>
      </c>
      <c r="H213">
        <v>5.12</v>
      </c>
      <c r="I213">
        <v>1</v>
      </c>
      <c r="J213">
        <v>5.12</v>
      </c>
      <c r="K213">
        <v>0</v>
      </c>
      <c r="L213">
        <v>0</v>
      </c>
      <c r="M213">
        <v>0</v>
      </c>
      <c r="N213">
        <v>0</v>
      </c>
      <c r="O213">
        <v>-5.12</v>
      </c>
      <c r="P213">
        <v>-5.12</v>
      </c>
      <c r="Q213">
        <v>0</v>
      </c>
      <c r="R213">
        <v>4.43</v>
      </c>
      <c r="S213">
        <v>0</v>
      </c>
      <c r="T213" t="s">
        <v>497</v>
      </c>
    </row>
    <row r="214" spans="1:20" customHeight="1" ht="14.5">
      <c r="A214" s="178">
        <v>155</v>
      </c>
      <c r="B214" s="178" t="s">
        <v>421</v>
      </c>
      <c r="C214" s="178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497</v>
      </c>
    </row>
    <row r="215" spans="1:20" customHeight="1" ht="14.5">
      <c r="A215" s="178">
        <v>160</v>
      </c>
      <c r="B215" s="178" t="s">
        <v>422</v>
      </c>
      <c r="C215" s="178">
        <v>0</v>
      </c>
      <c r="D215">
        <v>0</v>
      </c>
      <c r="E215">
        <v>1018.82</v>
      </c>
      <c r="F215">
        <v>1</v>
      </c>
      <c r="G215">
        <v>1018.82</v>
      </c>
      <c r="H215">
        <v>1018.82</v>
      </c>
      <c r="I215">
        <v>1</v>
      </c>
      <c r="J215">
        <v>1018.82</v>
      </c>
      <c r="K215">
        <v>0</v>
      </c>
      <c r="L215">
        <v>0</v>
      </c>
      <c r="M215">
        <v>0</v>
      </c>
      <c r="N215">
        <v>0</v>
      </c>
      <c r="O215">
        <v>-1018.82</v>
      </c>
      <c r="P215">
        <v>-1018.82</v>
      </c>
      <c r="Q215">
        <v>0</v>
      </c>
      <c r="R215">
        <v>7182.1</v>
      </c>
      <c r="S215">
        <v>0</v>
      </c>
      <c r="T215" t="s">
        <v>497</v>
      </c>
    </row>
    <row r="216" spans="1:20" customHeight="1" ht="14.5">
      <c r="A216" s="178">
        <v>170</v>
      </c>
      <c r="B216" s="178" t="s">
        <v>423</v>
      </c>
      <c r="C216" s="178">
        <v>-1253</v>
      </c>
      <c r="D216">
        <v>-1253</v>
      </c>
      <c r="E216">
        <v>-1650628.28</v>
      </c>
      <c r="F216">
        <v>1</v>
      </c>
      <c r="G216">
        <v>-1650628.28</v>
      </c>
      <c r="H216">
        <v>-1650628.28</v>
      </c>
      <c r="I216">
        <v>1</v>
      </c>
      <c r="J216">
        <v>-1650628.28</v>
      </c>
      <c r="K216">
        <v>0</v>
      </c>
      <c r="L216">
        <v>0</v>
      </c>
      <c r="M216">
        <v>-1253</v>
      </c>
      <c r="N216">
        <v>-1253</v>
      </c>
      <c r="O216">
        <v>1649375.28</v>
      </c>
      <c r="P216">
        <v>1649375.28</v>
      </c>
      <c r="Q216">
        <v>0</v>
      </c>
      <c r="R216">
        <v>-274641.08</v>
      </c>
      <c r="S216">
        <v>0</v>
      </c>
      <c r="T216" t="s">
        <v>497</v>
      </c>
    </row>
    <row r="217" spans="1:20">
      <c r="A217" s="178">
        <v>180</v>
      </c>
      <c r="B217" s="178" t="s">
        <v>424</v>
      </c>
      <c r="C217" s="178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497</v>
      </c>
    </row>
    <row r="218" spans="1:20">
      <c r="A218" s="178">
        <v>190</v>
      </c>
      <c r="B218" s="178" t="s">
        <v>425</v>
      </c>
      <c r="C218" s="17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497</v>
      </c>
    </row>
    <row r="219" spans="1:20" customHeight="1" ht="14.5">
      <c r="A219" s="178">
        <v>200</v>
      </c>
      <c r="B219" s="178" t="s">
        <v>426</v>
      </c>
      <c r="C219" s="178">
        <v>-1253</v>
      </c>
      <c r="D219">
        <v>-1253</v>
      </c>
      <c r="E219">
        <v>-1650628.28</v>
      </c>
      <c r="F219">
        <v>1</v>
      </c>
      <c r="G219">
        <v>-1650628.28</v>
      </c>
      <c r="H219">
        <v>-1650628.28</v>
      </c>
      <c r="I219">
        <v>1</v>
      </c>
      <c r="J219">
        <v>-1650628.28</v>
      </c>
      <c r="K219">
        <v>0</v>
      </c>
      <c r="L219">
        <v>0</v>
      </c>
      <c r="M219">
        <v>-1253</v>
      </c>
      <c r="N219">
        <v>-1253</v>
      </c>
      <c r="O219">
        <v>1649375.28</v>
      </c>
      <c r="P219">
        <v>1649375.28</v>
      </c>
      <c r="Q219">
        <v>0</v>
      </c>
      <c r="R219">
        <v>-274641.08</v>
      </c>
      <c r="S219">
        <v>0</v>
      </c>
      <c r="T219" t="s">
        <v>497</v>
      </c>
    </row>
    <row r="220" spans="1:20" customHeight="1" ht="14.5">
      <c r="A220" s="178">
        <v>210</v>
      </c>
      <c r="B220" s="178" t="s">
        <v>427</v>
      </c>
      <c r="C220" s="178">
        <v>-1253</v>
      </c>
      <c r="D220">
        <v>-1253</v>
      </c>
      <c r="E220">
        <v>-1496411.32</v>
      </c>
      <c r="F220">
        <v>1</v>
      </c>
      <c r="G220">
        <v>-1496411.32</v>
      </c>
      <c r="H220">
        <v>-1496411.32</v>
      </c>
      <c r="I220">
        <v>1</v>
      </c>
      <c r="J220">
        <v>-1496411.32</v>
      </c>
      <c r="K220">
        <v>0</v>
      </c>
      <c r="L220">
        <v>0</v>
      </c>
      <c r="M220">
        <v>-1253</v>
      </c>
      <c r="N220">
        <v>-1253</v>
      </c>
      <c r="O220">
        <v>1495158.32</v>
      </c>
      <c r="P220">
        <v>1495158.32</v>
      </c>
      <c r="Q220">
        <v>0</v>
      </c>
      <c r="R220">
        <v>-116169.96</v>
      </c>
      <c r="S220">
        <v>0</v>
      </c>
      <c r="T220" t="s">
        <v>497</v>
      </c>
    </row>
    <row r="221" spans="1:20" s="179" customFormat="1">
      <c r="A221" s="179" t="s">
        <v>443</v>
      </c>
      <c r="B221" s="179" t="s">
        <v>402</v>
      </c>
      <c r="C221" s="179" t="s">
        <v>509</v>
      </c>
      <c r="D221" s="179" t="s">
        <v>510</v>
      </c>
      <c r="E221" s="179" t="s">
        <v>403</v>
      </c>
      <c r="F221" s="179" t="s">
        <v>511</v>
      </c>
      <c r="G221" s="179" t="s">
        <v>512</v>
      </c>
      <c r="H221" s="179" t="s">
        <v>513</v>
      </c>
      <c r="I221" s="179" t="s">
        <v>514</v>
      </c>
      <c r="J221" s="179" t="s">
        <v>515</v>
      </c>
      <c r="K221" s="179" t="s">
        <v>437</v>
      </c>
      <c r="L221" s="179" t="s">
        <v>516</v>
      </c>
      <c r="M221" s="179" t="s">
        <v>530</v>
      </c>
      <c r="N221" s="179" t="s">
        <v>532</v>
      </c>
      <c r="O221" s="179" t="s">
        <v>533</v>
      </c>
      <c r="P221" s="179" t="s">
        <v>534</v>
      </c>
      <c r="Q221" s="179" t="s">
        <v>405</v>
      </c>
      <c r="R221" s="179"/>
      <c r="S221" s="179"/>
      <c r="T221" s="179"/>
    </row>
    <row r="222" spans="1:20" customHeight="1" ht="14.5">
      <c r="A222" s="178">
        <v>30</v>
      </c>
      <c r="B222" s="178" t="s">
        <v>406</v>
      </c>
      <c r="C222" s="178">
        <v>3577525.01</v>
      </c>
      <c r="D222">
        <v>3577525.01</v>
      </c>
      <c r="E222">
        <v>205000</v>
      </c>
      <c r="F222">
        <v>1</v>
      </c>
      <c r="G222">
        <v>205000</v>
      </c>
      <c r="H222">
        <v>205000</v>
      </c>
      <c r="I222">
        <v>1</v>
      </c>
      <c r="J222">
        <v>205000</v>
      </c>
      <c r="K222">
        <v>0</v>
      </c>
      <c r="L222">
        <v>0</v>
      </c>
      <c r="M222">
        <v>3372525.01</v>
      </c>
      <c r="N222">
        <v>3372525.01</v>
      </c>
      <c r="O222">
        <v>3577525.01</v>
      </c>
      <c r="P222">
        <v>3577525.01</v>
      </c>
      <c r="Q222" t="s">
        <v>497</v>
      </c>
      <c r="R222"/>
      <c r="S222"/>
      <c r="T222"/>
    </row>
    <row r="223" spans="1:20" customHeight="1" ht="14.5">
      <c r="A223" s="178">
        <v>40</v>
      </c>
      <c r="B223" s="178" t="s">
        <v>408</v>
      </c>
      <c r="C223" s="178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497</v>
      </c>
      <c r="R223"/>
      <c r="S223"/>
      <c r="T223"/>
    </row>
    <row r="224" spans="1:20">
      <c r="A224" s="178">
        <v>50</v>
      </c>
      <c r="B224" s="178" t="s">
        <v>409</v>
      </c>
      <c r="C224" s="178">
        <v>3577525.01</v>
      </c>
      <c r="D224">
        <v>3577525.01</v>
      </c>
      <c r="E224">
        <v>205000</v>
      </c>
      <c r="F224">
        <v>1</v>
      </c>
      <c r="G224">
        <v>205000</v>
      </c>
      <c r="H224">
        <v>205000</v>
      </c>
      <c r="I224">
        <v>1</v>
      </c>
      <c r="J224">
        <v>205000</v>
      </c>
      <c r="K224">
        <v>0</v>
      </c>
      <c r="L224">
        <v>0</v>
      </c>
      <c r="M224">
        <v>3372525.01</v>
      </c>
      <c r="N224">
        <v>3372525.01</v>
      </c>
      <c r="O224">
        <v>3577525.01</v>
      </c>
      <c r="P224">
        <v>3577525.01</v>
      </c>
      <c r="Q224" t="s">
        <v>497</v>
      </c>
      <c r="R224"/>
      <c r="S224"/>
      <c r="T224"/>
    </row>
    <row r="225" spans="1:20">
      <c r="A225" s="178">
        <v>60</v>
      </c>
      <c r="B225" s="178" t="s">
        <v>410</v>
      </c>
      <c r="C225" s="178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497</v>
      </c>
      <c r="R225"/>
      <c r="S225"/>
      <c r="T225"/>
    </row>
    <row r="226" spans="1:20">
      <c r="A226" s="178">
        <v>70</v>
      </c>
      <c r="B226" s="178" t="s">
        <v>411</v>
      </c>
      <c r="C226" s="178">
        <v>3577525.01</v>
      </c>
      <c r="D226">
        <v>3577525.01</v>
      </c>
      <c r="E226">
        <v>205000</v>
      </c>
      <c r="F226">
        <v>1</v>
      </c>
      <c r="G226">
        <v>205000</v>
      </c>
      <c r="H226">
        <v>205000</v>
      </c>
      <c r="I226">
        <v>1</v>
      </c>
      <c r="J226">
        <v>205000</v>
      </c>
      <c r="K226">
        <v>0</v>
      </c>
      <c r="L226">
        <v>0</v>
      </c>
      <c r="M226">
        <v>3372525.01</v>
      </c>
      <c r="N226">
        <v>3372525.01</v>
      </c>
      <c r="O226">
        <v>3577525.01</v>
      </c>
      <c r="P226">
        <v>3577525.01</v>
      </c>
      <c r="Q226" t="s">
        <v>497</v>
      </c>
      <c r="R226"/>
      <c r="S226"/>
      <c r="T226"/>
    </row>
    <row r="227" spans="1:20" customHeight="1" ht="14.5">
      <c r="A227" s="178">
        <v>80</v>
      </c>
      <c r="B227" s="178" t="s">
        <v>412</v>
      </c>
      <c r="C227" s="178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497</v>
      </c>
      <c r="R227"/>
      <c r="S227"/>
      <c r="T227"/>
    </row>
    <row r="228" spans="1:20" customHeight="1" ht="14.5">
      <c r="A228" s="178">
        <v>90</v>
      </c>
      <c r="B228" s="178" t="s">
        <v>413</v>
      </c>
      <c r="C228" s="178">
        <v>122051.28</v>
      </c>
      <c r="D228">
        <v>122051.28</v>
      </c>
      <c r="E228">
        <v>116965.85</v>
      </c>
      <c r="F228">
        <v>1</v>
      </c>
      <c r="G228">
        <v>116965.85</v>
      </c>
      <c r="H228">
        <v>116965.85</v>
      </c>
      <c r="I228">
        <v>1</v>
      </c>
      <c r="J228">
        <v>116965.85</v>
      </c>
      <c r="K228">
        <v>0</v>
      </c>
      <c r="L228">
        <v>0</v>
      </c>
      <c r="M228">
        <v>5085.43</v>
      </c>
      <c r="N228">
        <v>5085.43</v>
      </c>
      <c r="O228">
        <v>122051.28</v>
      </c>
      <c r="P228">
        <v>122051.28</v>
      </c>
      <c r="Q228" t="s">
        <v>497</v>
      </c>
      <c r="R228"/>
      <c r="S228"/>
      <c r="T228"/>
    </row>
    <row r="229" spans="1:20" customHeight="1" ht="14.5">
      <c r="A229" s="178">
        <v>100</v>
      </c>
      <c r="B229" s="178" t="s">
        <v>414</v>
      </c>
      <c r="C229" s="178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497</v>
      </c>
      <c r="R229"/>
      <c r="S229"/>
      <c r="T229"/>
    </row>
    <row r="230" spans="1:20" customHeight="1" ht="14.5">
      <c r="A230" s="178">
        <v>110</v>
      </c>
      <c r="B230" s="178" t="s">
        <v>415</v>
      </c>
      <c r="C230" s="178">
        <v>122051.28</v>
      </c>
      <c r="D230">
        <v>122051.28</v>
      </c>
      <c r="E230">
        <v>116965.85</v>
      </c>
      <c r="F230">
        <v>1</v>
      </c>
      <c r="G230">
        <v>116965.85</v>
      </c>
      <c r="H230">
        <v>116965.85</v>
      </c>
      <c r="I230">
        <v>1</v>
      </c>
      <c r="J230">
        <v>116965.85</v>
      </c>
      <c r="K230">
        <v>0</v>
      </c>
      <c r="L230">
        <v>0</v>
      </c>
      <c r="M230">
        <v>5085.43</v>
      </c>
      <c r="N230">
        <v>5085.43</v>
      </c>
      <c r="O230">
        <v>122051.28</v>
      </c>
      <c r="P230">
        <v>122051.28</v>
      </c>
      <c r="Q230" t="s">
        <v>497</v>
      </c>
      <c r="R230"/>
      <c r="S230"/>
      <c r="T230"/>
    </row>
    <row r="231" spans="1:20" customHeight="1" ht="14.5">
      <c r="A231" s="178">
        <v>120</v>
      </c>
      <c r="B231" s="178" t="s">
        <v>416</v>
      </c>
      <c r="C231" s="178">
        <v>3455473.73</v>
      </c>
      <c r="D231">
        <v>3455473.73</v>
      </c>
      <c r="E231">
        <v>88034.15</v>
      </c>
      <c r="F231">
        <v>1</v>
      </c>
      <c r="G231">
        <v>88034.15</v>
      </c>
      <c r="H231">
        <v>88034.15</v>
      </c>
      <c r="I231">
        <v>1</v>
      </c>
      <c r="J231">
        <v>88034.15</v>
      </c>
      <c r="K231">
        <v>0</v>
      </c>
      <c r="L231">
        <v>0</v>
      </c>
      <c r="M231">
        <v>3367439.58</v>
      </c>
      <c r="N231">
        <v>3367439.58</v>
      </c>
      <c r="O231">
        <v>3455473.73</v>
      </c>
      <c r="P231">
        <v>3455473.73</v>
      </c>
      <c r="Q231" t="s">
        <v>497</v>
      </c>
      <c r="R231"/>
      <c r="S231"/>
      <c r="T231"/>
    </row>
    <row r="232" spans="1:20" customHeight="1" ht="14.5">
      <c r="A232" s="178">
        <v>130</v>
      </c>
      <c r="B232" s="178" t="s">
        <v>417</v>
      </c>
      <c r="C232" s="178">
        <v>1774566.12</v>
      </c>
      <c r="D232">
        <v>1774566.12</v>
      </c>
      <c r="E232">
        <v>-383615.93</v>
      </c>
      <c r="F232">
        <v>1</v>
      </c>
      <c r="G232">
        <v>-383615.93</v>
      </c>
      <c r="H232">
        <v>-383615.93</v>
      </c>
      <c r="I232">
        <v>1</v>
      </c>
      <c r="J232">
        <v>-383615.93</v>
      </c>
      <c r="K232">
        <v>0</v>
      </c>
      <c r="L232">
        <v>0</v>
      </c>
      <c r="M232">
        <v>2158182.05</v>
      </c>
      <c r="N232">
        <v>2158182.05</v>
      </c>
      <c r="O232">
        <v>1774566.12</v>
      </c>
      <c r="P232">
        <v>1774566.12</v>
      </c>
      <c r="Q232" t="s">
        <v>497</v>
      </c>
      <c r="R232"/>
      <c r="S232"/>
      <c r="T232"/>
    </row>
    <row r="233" spans="1:20" customHeight="1" ht="14.5">
      <c r="A233" s="178">
        <v>135</v>
      </c>
      <c r="B233" s="178" t="s">
        <v>418</v>
      </c>
      <c r="C233" s="178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497</v>
      </c>
      <c r="R233"/>
      <c r="S233"/>
      <c r="T233"/>
    </row>
    <row r="234" spans="1:20" customHeight="1" ht="14.5">
      <c r="A234" s="178">
        <v>140</v>
      </c>
      <c r="B234" s="178" t="s">
        <v>419</v>
      </c>
      <c r="C234" s="178">
        <v>207398.4</v>
      </c>
      <c r="D234">
        <v>207398.4</v>
      </c>
      <c r="E234">
        <v>388339.5</v>
      </c>
      <c r="F234">
        <v>1</v>
      </c>
      <c r="G234">
        <v>388339.5</v>
      </c>
      <c r="H234">
        <v>388339.5</v>
      </c>
      <c r="I234">
        <v>1</v>
      </c>
      <c r="J234">
        <v>388339.5</v>
      </c>
      <c r="K234">
        <v>0</v>
      </c>
      <c r="L234">
        <v>0</v>
      </c>
      <c r="M234">
        <v>-180941.1</v>
      </c>
      <c r="N234">
        <v>-180941.1</v>
      </c>
      <c r="O234">
        <v>207398.4</v>
      </c>
      <c r="P234">
        <v>207398.4</v>
      </c>
      <c r="Q234" t="s">
        <v>497</v>
      </c>
      <c r="R234"/>
      <c r="S234"/>
      <c r="T234"/>
    </row>
    <row r="235" spans="1:20" customHeight="1" ht="14.5">
      <c r="A235" s="178">
        <v>150</v>
      </c>
      <c r="B235" s="178" t="s">
        <v>420</v>
      </c>
      <c r="C235" s="178">
        <v>58.87</v>
      </c>
      <c r="D235">
        <v>58.87</v>
      </c>
      <c r="E235">
        <v>73.68</v>
      </c>
      <c r="F235">
        <v>1</v>
      </c>
      <c r="G235">
        <v>73.68</v>
      </c>
      <c r="H235">
        <v>73.68</v>
      </c>
      <c r="I235">
        <v>1</v>
      </c>
      <c r="J235">
        <v>73.68</v>
      </c>
      <c r="K235">
        <v>0</v>
      </c>
      <c r="L235">
        <v>0</v>
      </c>
      <c r="M235">
        <v>-14.81</v>
      </c>
      <c r="N235">
        <v>-14.81</v>
      </c>
      <c r="O235">
        <v>58.87</v>
      </c>
      <c r="P235">
        <v>58.87</v>
      </c>
      <c r="Q235" t="s">
        <v>497</v>
      </c>
      <c r="R235"/>
      <c r="S235"/>
      <c r="T235"/>
    </row>
    <row r="236" spans="1:20" customHeight="1" ht="14.5">
      <c r="A236" s="178">
        <v>155</v>
      </c>
      <c r="B236" s="178" t="s">
        <v>421</v>
      </c>
      <c r="C236" s="178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497</v>
      </c>
      <c r="R236"/>
      <c r="S236"/>
      <c r="T236"/>
    </row>
    <row r="237" spans="1:20" customHeight="1" ht="14.5">
      <c r="A237" s="178">
        <v>160</v>
      </c>
      <c r="B237" s="178" t="s">
        <v>422</v>
      </c>
      <c r="C237" s="178">
        <v>1981905.65</v>
      </c>
      <c r="D237">
        <v>1981905.65</v>
      </c>
      <c r="E237">
        <v>4649.89</v>
      </c>
      <c r="F237">
        <v>1</v>
      </c>
      <c r="G237">
        <v>4649.89</v>
      </c>
      <c r="H237">
        <v>4649.89</v>
      </c>
      <c r="I237">
        <v>1</v>
      </c>
      <c r="J237">
        <v>4649.89</v>
      </c>
      <c r="K237">
        <v>0</v>
      </c>
      <c r="L237">
        <v>0</v>
      </c>
      <c r="M237">
        <v>1977255.76</v>
      </c>
      <c r="N237">
        <v>1977255.76</v>
      </c>
      <c r="O237">
        <v>1981905.65</v>
      </c>
      <c r="P237">
        <v>1981905.65</v>
      </c>
      <c r="Q237" t="s">
        <v>497</v>
      </c>
      <c r="R237"/>
      <c r="S237"/>
      <c r="T237"/>
    </row>
    <row r="238" spans="1:20" customHeight="1" ht="14.5">
      <c r="A238" s="178">
        <v>170</v>
      </c>
      <c r="B238" s="178" t="s">
        <v>423</v>
      </c>
      <c r="C238" s="178">
        <v>1473568.08</v>
      </c>
      <c r="D238">
        <v>1473568.08</v>
      </c>
      <c r="E238">
        <v>83384.26</v>
      </c>
      <c r="F238">
        <v>1</v>
      </c>
      <c r="G238">
        <v>83384.26</v>
      </c>
      <c r="H238">
        <v>83384.26</v>
      </c>
      <c r="I238">
        <v>1</v>
      </c>
      <c r="J238">
        <v>83384.26</v>
      </c>
      <c r="K238">
        <v>0</v>
      </c>
      <c r="L238">
        <v>0</v>
      </c>
      <c r="M238">
        <v>1390183.82</v>
      </c>
      <c r="N238">
        <v>1390183.82</v>
      </c>
      <c r="O238">
        <v>1473568.08</v>
      </c>
      <c r="P238">
        <v>1473568.08</v>
      </c>
      <c r="Q238" t="s">
        <v>497</v>
      </c>
      <c r="R238"/>
      <c r="S238"/>
      <c r="T238"/>
    </row>
    <row r="239" spans="1:20">
      <c r="A239" s="178">
        <v>180</v>
      </c>
      <c r="B239" s="178" t="s">
        <v>424</v>
      </c>
      <c r="C239" s="178">
        <v>10568.61</v>
      </c>
      <c r="D239">
        <v>10568.61</v>
      </c>
      <c r="E239">
        <v>19942.79</v>
      </c>
      <c r="F239">
        <v>1</v>
      </c>
      <c r="G239">
        <v>19942.79</v>
      </c>
      <c r="H239">
        <v>19942.79</v>
      </c>
      <c r="I239">
        <v>1</v>
      </c>
      <c r="J239">
        <v>19942.79</v>
      </c>
      <c r="K239">
        <v>0</v>
      </c>
      <c r="L239">
        <v>0</v>
      </c>
      <c r="M239">
        <v>-9374.18</v>
      </c>
      <c r="N239">
        <v>-9374.18</v>
      </c>
      <c r="O239">
        <v>10568.61</v>
      </c>
      <c r="P239">
        <v>10568.61</v>
      </c>
      <c r="Q239" t="s">
        <v>497</v>
      </c>
      <c r="R239"/>
      <c r="S239"/>
      <c r="T239"/>
    </row>
    <row r="240" spans="1:20">
      <c r="A240" s="178">
        <v>190</v>
      </c>
      <c r="B240" s="178" t="s">
        <v>425</v>
      </c>
      <c r="C240" s="178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497</v>
      </c>
      <c r="R240"/>
      <c r="S240"/>
      <c r="T240"/>
    </row>
    <row r="241" spans="1:20" customHeight="1" ht="14.5">
      <c r="A241" s="178">
        <v>200</v>
      </c>
      <c r="B241" s="178" t="s">
        <v>426</v>
      </c>
      <c r="C241" s="178">
        <v>1462999.47</v>
      </c>
      <c r="D241">
        <v>1462999.47</v>
      </c>
      <c r="E241">
        <v>63441.47</v>
      </c>
      <c r="F241">
        <v>1</v>
      </c>
      <c r="G241">
        <v>63441.47</v>
      </c>
      <c r="H241">
        <v>63441.47</v>
      </c>
      <c r="I241">
        <v>1</v>
      </c>
      <c r="J241">
        <v>63441.47</v>
      </c>
      <c r="K241">
        <v>0</v>
      </c>
      <c r="L241">
        <v>0</v>
      </c>
      <c r="M241">
        <v>1399558</v>
      </c>
      <c r="N241">
        <v>1399558</v>
      </c>
      <c r="O241">
        <v>1462999.47</v>
      </c>
      <c r="P241">
        <v>1462999.47</v>
      </c>
      <c r="Q241" t="s">
        <v>497</v>
      </c>
      <c r="R241"/>
      <c r="S241"/>
      <c r="T241"/>
    </row>
    <row r="242" spans="1:20" customHeight="1" ht="14.5">
      <c r="A242" s="178">
        <v>210</v>
      </c>
      <c r="B242" s="178" t="s">
        <v>427</v>
      </c>
      <c r="C242" s="178">
        <v>3455473.73</v>
      </c>
      <c r="D242">
        <v>3455473.73</v>
      </c>
      <c r="E242">
        <v>88034.15</v>
      </c>
      <c r="F242">
        <v>1</v>
      </c>
      <c r="G242">
        <v>88034.15</v>
      </c>
      <c r="H242">
        <v>88034.15</v>
      </c>
      <c r="I242">
        <v>1</v>
      </c>
      <c r="J242">
        <v>88034.15</v>
      </c>
      <c r="K242">
        <v>0</v>
      </c>
      <c r="L242">
        <v>0</v>
      </c>
      <c r="M242">
        <v>3367439.58</v>
      </c>
      <c r="N242">
        <v>3367439.58</v>
      </c>
      <c r="O242">
        <v>3455473.73</v>
      </c>
      <c r="P242">
        <v>3455473.73</v>
      </c>
      <c r="Q242" t="s">
        <v>497</v>
      </c>
      <c r="R242"/>
      <c r="S242"/>
      <c r="T242"/>
    </row>
    <row r="243" spans="1:20" s="179" customFormat="1">
      <c r="A243" s="179" t="s">
        <v>444</v>
      </c>
      <c r="B243" s="179" t="s">
        <v>402</v>
      </c>
      <c r="C243" s="179" t="s">
        <v>509</v>
      </c>
      <c r="D243" s="179" t="s">
        <v>510</v>
      </c>
      <c r="E243" s="179" t="s">
        <v>403</v>
      </c>
      <c r="F243" s="179" t="s">
        <v>511</v>
      </c>
      <c r="G243" s="179" t="s">
        <v>512</v>
      </c>
      <c r="H243" s="179" t="s">
        <v>513</v>
      </c>
      <c r="I243" s="179" t="s">
        <v>514</v>
      </c>
      <c r="J243" s="179" t="s">
        <v>515</v>
      </c>
      <c r="K243" s="179" t="s">
        <v>437</v>
      </c>
      <c r="L243" s="179" t="s">
        <v>516</v>
      </c>
      <c r="M243" s="179" t="s">
        <v>530</v>
      </c>
      <c r="N243" s="179" t="s">
        <v>532</v>
      </c>
      <c r="O243" s="179" t="s">
        <v>533</v>
      </c>
      <c r="P243" s="179" t="s">
        <v>534</v>
      </c>
      <c r="Q243" s="179" t="s">
        <v>405</v>
      </c>
      <c r="R243" s="179"/>
      <c r="S243" s="179"/>
      <c r="T243" s="179"/>
    </row>
    <row r="244" spans="1:20" customHeight="1" ht="14.5">
      <c r="A244" s="178">
        <v>30</v>
      </c>
      <c r="B244" s="178" t="s">
        <v>406</v>
      </c>
      <c r="C244" s="178">
        <v>3679287.02</v>
      </c>
      <c r="D244">
        <v>3679287.02</v>
      </c>
      <c r="E244">
        <v>3388156.17</v>
      </c>
      <c r="F244">
        <v>1</v>
      </c>
      <c r="G244">
        <v>3388156.17</v>
      </c>
      <c r="H244">
        <v>3388156.17</v>
      </c>
      <c r="I244">
        <v>1</v>
      </c>
      <c r="J244">
        <v>3388156.17</v>
      </c>
      <c r="K244">
        <v>0</v>
      </c>
      <c r="L244">
        <v>0</v>
      </c>
      <c r="M244">
        <v>291130.85</v>
      </c>
      <c r="N244">
        <v>291130.85</v>
      </c>
      <c r="O244">
        <v>3679287.02</v>
      </c>
      <c r="P244">
        <v>3679287.02</v>
      </c>
      <c r="Q244" t="s">
        <v>497</v>
      </c>
      <c r="R244"/>
      <c r="S244"/>
      <c r="T244"/>
    </row>
    <row r="245" spans="1:20" customHeight="1" ht="14.5">
      <c r="A245" s="178">
        <v>40</v>
      </c>
      <c r="B245" s="178" t="s">
        <v>408</v>
      </c>
      <c r="C245" s="178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497</v>
      </c>
      <c r="R245"/>
      <c r="S245"/>
      <c r="T245"/>
    </row>
    <row r="246" spans="1:20">
      <c r="A246" s="178">
        <v>50</v>
      </c>
      <c r="B246" s="178" t="s">
        <v>409</v>
      </c>
      <c r="C246" s="178">
        <v>3679287.02</v>
      </c>
      <c r="D246">
        <v>3679287.02</v>
      </c>
      <c r="E246">
        <v>3388156.17</v>
      </c>
      <c r="F246">
        <v>1</v>
      </c>
      <c r="G246">
        <v>3388156.17</v>
      </c>
      <c r="H246">
        <v>3388156.17</v>
      </c>
      <c r="I246">
        <v>1</v>
      </c>
      <c r="J246">
        <v>3388156.17</v>
      </c>
      <c r="K246">
        <v>0</v>
      </c>
      <c r="L246">
        <v>0</v>
      </c>
      <c r="M246">
        <v>291130.85</v>
      </c>
      <c r="N246">
        <v>291130.85</v>
      </c>
      <c r="O246">
        <v>3679287.02</v>
      </c>
      <c r="P246">
        <v>3679287.02</v>
      </c>
      <c r="Q246" t="s">
        <v>497</v>
      </c>
      <c r="R246"/>
      <c r="S246"/>
      <c r="T246"/>
    </row>
    <row r="247" spans="1:20">
      <c r="A247" s="178">
        <v>60</v>
      </c>
      <c r="B247" s="178" t="s">
        <v>410</v>
      </c>
      <c r="C247" s="178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497</v>
      </c>
      <c r="R247"/>
      <c r="S247"/>
      <c r="T247"/>
    </row>
    <row r="248" spans="1:20">
      <c r="A248" s="178">
        <v>70</v>
      </c>
      <c r="B248" s="178" t="s">
        <v>411</v>
      </c>
      <c r="C248" s="178">
        <v>3679287.02</v>
      </c>
      <c r="D248">
        <v>3679287.02</v>
      </c>
      <c r="E248">
        <v>3388156.17</v>
      </c>
      <c r="F248">
        <v>1</v>
      </c>
      <c r="G248">
        <v>3388156.17</v>
      </c>
      <c r="H248">
        <v>3388156.17</v>
      </c>
      <c r="I248">
        <v>1</v>
      </c>
      <c r="J248">
        <v>3388156.17</v>
      </c>
      <c r="K248">
        <v>0</v>
      </c>
      <c r="L248">
        <v>0</v>
      </c>
      <c r="M248">
        <v>291130.85</v>
      </c>
      <c r="N248">
        <v>291130.85</v>
      </c>
      <c r="O248">
        <v>3679287.02</v>
      </c>
      <c r="P248">
        <v>3679287.02</v>
      </c>
      <c r="Q248" t="s">
        <v>497</v>
      </c>
      <c r="R248"/>
      <c r="S248"/>
      <c r="T248"/>
    </row>
    <row r="249" spans="1:20" customHeight="1" ht="14.5">
      <c r="A249" s="178">
        <v>80</v>
      </c>
      <c r="B249" s="178" t="s">
        <v>412</v>
      </c>
      <c r="C249" s="178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497</v>
      </c>
      <c r="R249"/>
      <c r="S249"/>
      <c r="T249"/>
    </row>
    <row r="250" spans="1:20" customHeight="1" ht="14.5">
      <c r="A250" s="178">
        <v>90</v>
      </c>
      <c r="B250" s="178" t="s">
        <v>413</v>
      </c>
      <c r="C250" s="178">
        <v>2835137.38</v>
      </c>
      <c r="D250">
        <v>2835137.38</v>
      </c>
      <c r="E250">
        <v>2978026.62</v>
      </c>
      <c r="F250">
        <v>1</v>
      </c>
      <c r="G250">
        <v>2978026.62</v>
      </c>
      <c r="H250">
        <v>2978026.62</v>
      </c>
      <c r="I250">
        <v>1</v>
      </c>
      <c r="J250">
        <v>2978026.62</v>
      </c>
      <c r="K250">
        <v>0</v>
      </c>
      <c r="L250">
        <v>0</v>
      </c>
      <c r="M250">
        <v>-142889.24</v>
      </c>
      <c r="N250">
        <v>-142889.24</v>
      </c>
      <c r="O250">
        <v>2835137.38</v>
      </c>
      <c r="P250">
        <v>2835137.38</v>
      </c>
      <c r="Q250" t="s">
        <v>497</v>
      </c>
      <c r="R250"/>
      <c r="S250"/>
      <c r="T250"/>
    </row>
    <row r="251" spans="1:20" customHeight="1" ht="14.5">
      <c r="A251" s="178">
        <v>100</v>
      </c>
      <c r="B251" s="178" t="s">
        <v>414</v>
      </c>
      <c r="C251" s="178">
        <v>19594.25</v>
      </c>
      <c r="D251">
        <v>19594.25</v>
      </c>
      <c r="E251">
        <v>19594.25</v>
      </c>
      <c r="F251">
        <v>1</v>
      </c>
      <c r="G251">
        <v>19594.25</v>
      </c>
      <c r="H251">
        <v>19594.25</v>
      </c>
      <c r="I251">
        <v>1</v>
      </c>
      <c r="J251">
        <v>19594.25</v>
      </c>
      <c r="K251">
        <v>0</v>
      </c>
      <c r="L251">
        <v>0</v>
      </c>
      <c r="M251">
        <v>0</v>
      </c>
      <c r="N251">
        <v>0</v>
      </c>
      <c r="O251">
        <v>19594.25</v>
      </c>
      <c r="P251">
        <v>19594.25</v>
      </c>
      <c r="Q251" t="s">
        <v>497</v>
      </c>
      <c r="R251"/>
      <c r="S251"/>
      <c r="T251"/>
    </row>
    <row r="252" spans="1:20" customHeight="1" ht="14.5">
      <c r="A252" s="178">
        <v>110</v>
      </c>
      <c r="B252" s="178" t="s">
        <v>415</v>
      </c>
      <c r="C252" s="178">
        <v>2854731.63</v>
      </c>
      <c r="D252">
        <v>2854731.63</v>
      </c>
      <c r="E252">
        <v>2997620.87</v>
      </c>
      <c r="F252">
        <v>1</v>
      </c>
      <c r="G252">
        <v>2997620.87</v>
      </c>
      <c r="H252">
        <v>2997620.87</v>
      </c>
      <c r="I252">
        <v>1</v>
      </c>
      <c r="J252">
        <v>2997620.87</v>
      </c>
      <c r="K252">
        <v>0</v>
      </c>
      <c r="L252">
        <v>0</v>
      </c>
      <c r="M252">
        <v>-142889.24</v>
      </c>
      <c r="N252">
        <v>-142889.24</v>
      </c>
      <c r="O252">
        <v>2854731.63</v>
      </c>
      <c r="P252">
        <v>2854731.63</v>
      </c>
      <c r="Q252" t="s">
        <v>497</v>
      </c>
      <c r="R252"/>
      <c r="S252"/>
      <c r="T252"/>
    </row>
    <row r="253" spans="1:20" customHeight="1" ht="14.5">
      <c r="A253" s="178">
        <v>120</v>
      </c>
      <c r="B253" s="178" t="s">
        <v>416</v>
      </c>
      <c r="C253" s="178">
        <v>824555.39</v>
      </c>
      <c r="D253">
        <v>824555.39</v>
      </c>
      <c r="E253">
        <v>390535.3</v>
      </c>
      <c r="F253">
        <v>1</v>
      </c>
      <c r="G253">
        <v>390535.3</v>
      </c>
      <c r="H253">
        <v>390535.3</v>
      </c>
      <c r="I253">
        <v>1</v>
      </c>
      <c r="J253">
        <v>390535.3</v>
      </c>
      <c r="K253">
        <v>0</v>
      </c>
      <c r="L253">
        <v>0</v>
      </c>
      <c r="M253">
        <v>434020.09</v>
      </c>
      <c r="N253">
        <v>434020.09</v>
      </c>
      <c r="O253">
        <v>824555.39</v>
      </c>
      <c r="P253">
        <v>824555.39</v>
      </c>
      <c r="Q253" t="s">
        <v>497</v>
      </c>
      <c r="R253"/>
      <c r="S253"/>
      <c r="T253"/>
    </row>
    <row r="254" spans="1:20" customHeight="1" ht="14.5">
      <c r="A254" s="178">
        <v>130</v>
      </c>
      <c r="B254" s="178" t="s">
        <v>417</v>
      </c>
      <c r="C254" s="178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497</v>
      </c>
      <c r="R254"/>
      <c r="S254"/>
      <c r="T254"/>
    </row>
    <row r="255" spans="1:20" customHeight="1" ht="14.5">
      <c r="A255" s="178">
        <v>135</v>
      </c>
      <c r="B255" s="178" t="s">
        <v>418</v>
      </c>
      <c r="C255" s="178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497</v>
      </c>
      <c r="R255"/>
      <c r="S255"/>
      <c r="T255"/>
    </row>
    <row r="256" spans="1:20" customHeight="1" ht="14.5">
      <c r="A256" s="178">
        <v>140</v>
      </c>
      <c r="B256" s="178" t="s">
        <v>419</v>
      </c>
      <c r="C256" s="178">
        <v>5358.29</v>
      </c>
      <c r="D256">
        <v>5358.29</v>
      </c>
      <c r="E256">
        <v>6834.72</v>
      </c>
      <c r="F256">
        <v>1</v>
      </c>
      <c r="G256">
        <v>6834.72</v>
      </c>
      <c r="H256">
        <v>6834.72</v>
      </c>
      <c r="I256">
        <v>1</v>
      </c>
      <c r="J256">
        <v>6834.72</v>
      </c>
      <c r="K256">
        <v>0</v>
      </c>
      <c r="L256">
        <v>0</v>
      </c>
      <c r="M256">
        <v>-1476.43</v>
      </c>
      <c r="N256">
        <v>-1476.43</v>
      </c>
      <c r="O256">
        <v>5358.29</v>
      </c>
      <c r="P256">
        <v>5358.29</v>
      </c>
      <c r="Q256" t="s">
        <v>497</v>
      </c>
      <c r="R256"/>
      <c r="S256"/>
      <c r="T256"/>
    </row>
    <row r="257" spans="1:20" customHeight="1" ht="14.5">
      <c r="A257" s="178">
        <v>150</v>
      </c>
      <c r="B257" s="178" t="s">
        <v>420</v>
      </c>
      <c r="C257" s="178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497</v>
      </c>
      <c r="R257"/>
      <c r="S257"/>
      <c r="T257"/>
    </row>
    <row r="258" spans="1:20" customHeight="1" ht="14.5">
      <c r="A258" s="178">
        <v>155</v>
      </c>
      <c r="B258" s="178" t="s">
        <v>421</v>
      </c>
      <c r="C258" s="17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497</v>
      </c>
      <c r="R258"/>
      <c r="S258"/>
      <c r="T258"/>
    </row>
    <row r="259" spans="1:20" customHeight="1" ht="14.5">
      <c r="A259" s="178">
        <v>160</v>
      </c>
      <c r="B259" s="178" t="s">
        <v>422</v>
      </c>
      <c r="C259" s="178">
        <v>5358.29</v>
      </c>
      <c r="D259">
        <v>5358.29</v>
      </c>
      <c r="E259">
        <v>6834.72</v>
      </c>
      <c r="F259">
        <v>1</v>
      </c>
      <c r="G259">
        <v>6834.72</v>
      </c>
      <c r="H259">
        <v>6834.72</v>
      </c>
      <c r="I259">
        <v>1</v>
      </c>
      <c r="J259">
        <v>6834.72</v>
      </c>
      <c r="K259">
        <v>0</v>
      </c>
      <c r="L259">
        <v>0</v>
      </c>
      <c r="M259">
        <v>-1476.43</v>
      </c>
      <c r="N259">
        <v>-1476.43</v>
      </c>
      <c r="O259">
        <v>5358.29</v>
      </c>
      <c r="P259">
        <v>5358.29</v>
      </c>
      <c r="Q259" t="s">
        <v>497</v>
      </c>
      <c r="R259"/>
      <c r="S259"/>
      <c r="T259"/>
    </row>
    <row r="260" spans="1:20" customHeight="1" ht="14.5">
      <c r="A260" s="178">
        <v>170</v>
      </c>
      <c r="B260" s="178" t="s">
        <v>423</v>
      </c>
      <c r="C260" s="178">
        <v>819197.1</v>
      </c>
      <c r="D260">
        <v>819197.1</v>
      </c>
      <c r="E260">
        <v>383700.58</v>
      </c>
      <c r="F260">
        <v>1</v>
      </c>
      <c r="G260">
        <v>383700.58</v>
      </c>
      <c r="H260">
        <v>383700.58</v>
      </c>
      <c r="I260">
        <v>1</v>
      </c>
      <c r="J260">
        <v>383700.58</v>
      </c>
      <c r="K260">
        <v>0</v>
      </c>
      <c r="L260">
        <v>0</v>
      </c>
      <c r="M260">
        <v>435496.52</v>
      </c>
      <c r="N260">
        <v>435496.52</v>
      </c>
      <c r="O260">
        <v>819197.1</v>
      </c>
      <c r="P260">
        <v>819197.1</v>
      </c>
      <c r="Q260" t="s">
        <v>497</v>
      </c>
      <c r="R260"/>
      <c r="S260"/>
      <c r="T260"/>
    </row>
    <row r="261" spans="1:20">
      <c r="A261" s="178">
        <v>180</v>
      </c>
      <c r="B261" s="178" t="s">
        <v>424</v>
      </c>
      <c r="C261" s="178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497</v>
      </c>
      <c r="R261"/>
      <c r="S261"/>
      <c r="T261"/>
    </row>
    <row r="262" spans="1:20">
      <c r="A262" s="178">
        <v>190</v>
      </c>
      <c r="B262" s="178" t="s">
        <v>425</v>
      </c>
      <c r="C262" s="178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497</v>
      </c>
      <c r="R262"/>
      <c r="S262"/>
      <c r="T262"/>
    </row>
    <row r="263" spans="1:20" customHeight="1" ht="14.5">
      <c r="A263" s="178">
        <v>200</v>
      </c>
      <c r="B263" s="178" t="s">
        <v>426</v>
      </c>
      <c r="C263" s="178">
        <v>819197.1</v>
      </c>
      <c r="D263">
        <v>819197.1</v>
      </c>
      <c r="E263">
        <v>383700.58</v>
      </c>
      <c r="F263">
        <v>1</v>
      </c>
      <c r="G263">
        <v>383700.58</v>
      </c>
      <c r="H263">
        <v>383700.58</v>
      </c>
      <c r="I263">
        <v>1</v>
      </c>
      <c r="J263">
        <v>383700.58</v>
      </c>
      <c r="K263">
        <v>0</v>
      </c>
      <c r="L263">
        <v>0</v>
      </c>
      <c r="M263">
        <v>435496.52</v>
      </c>
      <c r="N263">
        <v>435496.52</v>
      </c>
      <c r="O263">
        <v>819197.1</v>
      </c>
      <c r="P263">
        <v>819197.1</v>
      </c>
      <c r="Q263" t="s">
        <v>497</v>
      </c>
      <c r="R263"/>
      <c r="S263"/>
      <c r="T263"/>
    </row>
    <row r="264" spans="1:20" customHeight="1" ht="14.5">
      <c r="A264" s="178">
        <v>210</v>
      </c>
      <c r="B264" s="178" t="s">
        <v>427</v>
      </c>
      <c r="C264" s="178">
        <v>844149.64</v>
      </c>
      <c r="D264">
        <v>844149.64</v>
      </c>
      <c r="E264">
        <v>410129.55</v>
      </c>
      <c r="F264">
        <v>1</v>
      </c>
      <c r="G264">
        <v>410129.55</v>
      </c>
      <c r="H264">
        <v>410129.55</v>
      </c>
      <c r="I264">
        <v>1</v>
      </c>
      <c r="J264">
        <v>410129.55</v>
      </c>
      <c r="K264">
        <v>0</v>
      </c>
      <c r="L264">
        <v>0</v>
      </c>
      <c r="M264">
        <v>434020.09</v>
      </c>
      <c r="N264">
        <v>434020.09</v>
      </c>
      <c r="O264">
        <v>844149.64</v>
      </c>
      <c r="P264">
        <v>844149.64</v>
      </c>
      <c r="Q264" t="s">
        <v>497</v>
      </c>
      <c r="R264"/>
      <c r="S264"/>
      <c r="T264"/>
    </row>
    <row r="265" spans="1:20" s="179" customFormat="1">
      <c r="A265" s="179" t="s">
        <v>445</v>
      </c>
      <c r="B265" s="179" t="s">
        <v>402</v>
      </c>
      <c r="C265" s="179" t="s">
        <v>509</v>
      </c>
      <c r="D265" s="179" t="s">
        <v>510</v>
      </c>
      <c r="E265" s="179" t="s">
        <v>403</v>
      </c>
      <c r="F265" s="179" t="s">
        <v>511</v>
      </c>
      <c r="G265" s="179" t="s">
        <v>512</v>
      </c>
      <c r="H265" s="179" t="s">
        <v>513</v>
      </c>
      <c r="I265" s="179" t="s">
        <v>514</v>
      </c>
      <c r="J265" s="179" t="s">
        <v>515</v>
      </c>
      <c r="K265" s="179" t="s">
        <v>437</v>
      </c>
      <c r="L265" s="179" t="s">
        <v>516</v>
      </c>
      <c r="M265" s="179" t="s">
        <v>530</v>
      </c>
      <c r="N265" s="179" t="s">
        <v>532</v>
      </c>
      <c r="O265" s="179" t="s">
        <v>533</v>
      </c>
      <c r="P265" s="179" t="s">
        <v>534</v>
      </c>
      <c r="Q265" s="179" t="s">
        <v>405</v>
      </c>
      <c r="R265" s="179"/>
      <c r="S265" s="179"/>
      <c r="T265" s="179"/>
    </row>
    <row r="266" spans="1:20" customHeight="1" ht="14.5">
      <c r="A266" s="178">
        <v>30</v>
      </c>
      <c r="B266" s="178" t="s">
        <v>406</v>
      </c>
      <c r="C266" s="178">
        <v>0</v>
      </c>
      <c r="D266">
        <v>0</v>
      </c>
      <c r="E266">
        <v>13000000</v>
      </c>
      <c r="F266">
        <v>1</v>
      </c>
      <c r="G266">
        <v>13000000</v>
      </c>
      <c r="H266">
        <v>13000000</v>
      </c>
      <c r="I266">
        <v>1</v>
      </c>
      <c r="J266">
        <v>13000000</v>
      </c>
      <c r="K266">
        <v>0</v>
      </c>
      <c r="L266">
        <v>0</v>
      </c>
      <c r="M266">
        <v>-13000000</v>
      </c>
      <c r="N266">
        <v>-13000000</v>
      </c>
      <c r="O266">
        <v>0</v>
      </c>
      <c r="P266">
        <v>0</v>
      </c>
      <c r="Q266" t="s">
        <v>497</v>
      </c>
      <c r="R266"/>
      <c r="S266"/>
      <c r="T266"/>
    </row>
    <row r="267" spans="1:20" customHeight="1" ht="14.5">
      <c r="A267" s="178">
        <v>40</v>
      </c>
      <c r="B267" s="178" t="s">
        <v>408</v>
      </c>
      <c r="C267" s="178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497</v>
      </c>
      <c r="R267"/>
      <c r="S267"/>
      <c r="T267"/>
    </row>
    <row r="268" spans="1:20">
      <c r="A268" s="178">
        <v>50</v>
      </c>
      <c r="B268" s="178" t="s">
        <v>409</v>
      </c>
      <c r="C268" s="178">
        <v>0</v>
      </c>
      <c r="D268">
        <v>0</v>
      </c>
      <c r="E268">
        <v>13000000</v>
      </c>
      <c r="F268">
        <v>1</v>
      </c>
      <c r="G268">
        <v>13000000</v>
      </c>
      <c r="H268">
        <v>13000000</v>
      </c>
      <c r="I268">
        <v>1</v>
      </c>
      <c r="J268">
        <v>13000000</v>
      </c>
      <c r="K268">
        <v>0</v>
      </c>
      <c r="L268">
        <v>0</v>
      </c>
      <c r="M268">
        <v>-13000000</v>
      </c>
      <c r="N268">
        <v>-13000000</v>
      </c>
      <c r="O268">
        <v>0</v>
      </c>
      <c r="P268">
        <v>0</v>
      </c>
      <c r="Q268" t="s">
        <v>497</v>
      </c>
      <c r="R268"/>
      <c r="S268"/>
      <c r="T268"/>
    </row>
    <row r="269" spans="1:20">
      <c r="A269" s="178">
        <v>60</v>
      </c>
      <c r="B269" s="178" t="s">
        <v>410</v>
      </c>
      <c r="C269" s="178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497</v>
      </c>
      <c r="R269"/>
      <c r="S269"/>
      <c r="T269"/>
    </row>
    <row r="270" spans="1:20">
      <c r="A270" s="178">
        <v>70</v>
      </c>
      <c r="B270" s="178" t="s">
        <v>411</v>
      </c>
      <c r="C270" s="178">
        <v>0</v>
      </c>
      <c r="D270">
        <v>0</v>
      </c>
      <c r="E270">
        <v>13000000</v>
      </c>
      <c r="F270">
        <v>1</v>
      </c>
      <c r="G270">
        <v>13000000</v>
      </c>
      <c r="H270">
        <v>13000000</v>
      </c>
      <c r="I270">
        <v>1</v>
      </c>
      <c r="J270">
        <v>13000000</v>
      </c>
      <c r="K270">
        <v>0</v>
      </c>
      <c r="L270">
        <v>0</v>
      </c>
      <c r="M270">
        <v>-13000000</v>
      </c>
      <c r="N270">
        <v>-13000000</v>
      </c>
      <c r="O270">
        <v>0</v>
      </c>
      <c r="P270">
        <v>0</v>
      </c>
      <c r="Q270" t="s">
        <v>497</v>
      </c>
      <c r="R270"/>
      <c r="S270"/>
      <c r="T270"/>
    </row>
    <row r="271" spans="1:20" customHeight="1" ht="14.5">
      <c r="A271" s="178">
        <v>80</v>
      </c>
      <c r="B271" s="178" t="s">
        <v>412</v>
      </c>
      <c r="C271" s="178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497</v>
      </c>
      <c r="R271"/>
      <c r="S271"/>
      <c r="T271"/>
    </row>
    <row r="272" spans="1:20" customHeight="1" ht="14.5">
      <c r="A272" s="178">
        <v>90</v>
      </c>
      <c r="B272" s="178" t="s">
        <v>413</v>
      </c>
      <c r="C272" s="178">
        <v>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 t="s">
        <v>497</v>
      </c>
      <c r="R272"/>
      <c r="S272"/>
      <c r="T272"/>
    </row>
    <row r="273" spans="1:20" customHeight="1" ht="14.5">
      <c r="A273" s="178">
        <v>100</v>
      </c>
      <c r="B273" s="178" t="s">
        <v>414</v>
      </c>
      <c r="C273" s="178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497</v>
      </c>
      <c r="R273"/>
      <c r="S273"/>
      <c r="T273"/>
    </row>
    <row r="274" spans="1:20" customHeight="1" ht="14.5">
      <c r="A274" s="178">
        <v>110</v>
      </c>
      <c r="B274" s="178" t="s">
        <v>415</v>
      </c>
      <c r="C274" s="178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 t="s">
        <v>497</v>
      </c>
      <c r="R274"/>
      <c r="S274"/>
      <c r="T274"/>
    </row>
    <row r="275" spans="1:20" customHeight="1" ht="14.5">
      <c r="A275" s="178">
        <v>120</v>
      </c>
      <c r="B275" s="178" t="s">
        <v>416</v>
      </c>
      <c r="C275" s="178">
        <v>-1</v>
      </c>
      <c r="D275">
        <v>-1</v>
      </c>
      <c r="E275">
        <v>13000000</v>
      </c>
      <c r="F275">
        <v>1</v>
      </c>
      <c r="G275">
        <v>13000000</v>
      </c>
      <c r="H275">
        <v>13000000</v>
      </c>
      <c r="I275">
        <v>1</v>
      </c>
      <c r="J275">
        <v>13000000</v>
      </c>
      <c r="K275">
        <v>0</v>
      </c>
      <c r="L275">
        <v>0</v>
      </c>
      <c r="M275">
        <v>-13000001</v>
      </c>
      <c r="N275">
        <v>-13000001</v>
      </c>
      <c r="O275">
        <v>-1</v>
      </c>
      <c r="P275">
        <v>-1</v>
      </c>
      <c r="Q275" t="s">
        <v>497</v>
      </c>
      <c r="R275"/>
      <c r="S275"/>
      <c r="T275"/>
    </row>
    <row r="276" spans="1:20" customHeight="1" ht="14.5">
      <c r="A276" s="178">
        <v>130</v>
      </c>
      <c r="B276" s="178" t="s">
        <v>417</v>
      </c>
      <c r="C276" s="178">
        <v>343382.11</v>
      </c>
      <c r="D276">
        <v>343382.11</v>
      </c>
      <c r="E276">
        <v>-99856.98</v>
      </c>
      <c r="F276">
        <v>1</v>
      </c>
      <c r="G276">
        <v>-99856.98</v>
      </c>
      <c r="H276">
        <v>-99856.98</v>
      </c>
      <c r="I276">
        <v>1</v>
      </c>
      <c r="J276">
        <v>-99856.98</v>
      </c>
      <c r="K276">
        <v>0</v>
      </c>
      <c r="L276">
        <v>0</v>
      </c>
      <c r="M276">
        <v>443239.09</v>
      </c>
      <c r="N276">
        <v>443239.09</v>
      </c>
      <c r="O276">
        <v>343382.11</v>
      </c>
      <c r="P276">
        <v>343382.11</v>
      </c>
      <c r="Q276" t="s">
        <v>497</v>
      </c>
      <c r="R276"/>
      <c r="S276"/>
      <c r="T276"/>
    </row>
    <row r="277" spans="1:20" customHeight="1" ht="14.5">
      <c r="A277" s="178">
        <v>135</v>
      </c>
      <c r="B277" s="178" t="s">
        <v>418</v>
      </c>
      <c r="C277" s="178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497</v>
      </c>
      <c r="R277"/>
      <c r="S277"/>
      <c r="T277"/>
    </row>
    <row r="278" spans="1:20" customHeight="1" ht="14.5">
      <c r="A278" s="178">
        <v>140</v>
      </c>
      <c r="B278" s="178" t="s">
        <v>419</v>
      </c>
      <c r="C278" s="178">
        <v>85039.7</v>
      </c>
      <c r="D278">
        <v>85039.7</v>
      </c>
      <c r="E278">
        <v>113567.25</v>
      </c>
      <c r="F278">
        <v>1</v>
      </c>
      <c r="G278">
        <v>113567.25</v>
      </c>
      <c r="H278">
        <v>113567.25</v>
      </c>
      <c r="I278">
        <v>1</v>
      </c>
      <c r="J278">
        <v>113567.25</v>
      </c>
      <c r="K278">
        <v>0</v>
      </c>
      <c r="L278">
        <v>0</v>
      </c>
      <c r="M278">
        <v>-28527.55</v>
      </c>
      <c r="N278">
        <v>-28527.55</v>
      </c>
      <c r="O278">
        <v>85039.7</v>
      </c>
      <c r="P278">
        <v>85039.7</v>
      </c>
      <c r="Q278" t="s">
        <v>497</v>
      </c>
      <c r="R278"/>
      <c r="S278"/>
      <c r="T278"/>
    </row>
    <row r="279" spans="1:20" customHeight="1" ht="14.5">
      <c r="A279" s="178">
        <v>150</v>
      </c>
      <c r="B279" s="178" t="s">
        <v>420</v>
      </c>
      <c r="C279" s="178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497</v>
      </c>
      <c r="R279"/>
      <c r="S279"/>
      <c r="T279"/>
    </row>
    <row r="280" spans="1:20" customHeight="1" ht="14.5">
      <c r="A280" s="178">
        <v>155</v>
      </c>
      <c r="B280" s="178" t="s">
        <v>421</v>
      </c>
      <c r="C280" s="178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497</v>
      </c>
      <c r="R280"/>
      <c r="S280"/>
      <c r="T280"/>
    </row>
    <row r="281" spans="1:20" customHeight="1" ht="14.5">
      <c r="A281" s="178">
        <v>160</v>
      </c>
      <c r="B281" s="178" t="s">
        <v>422</v>
      </c>
      <c r="C281" s="178">
        <v>428421.81</v>
      </c>
      <c r="D281">
        <v>428421.81</v>
      </c>
      <c r="E281">
        <v>13710.27</v>
      </c>
      <c r="F281">
        <v>1</v>
      </c>
      <c r="G281">
        <v>13710.27</v>
      </c>
      <c r="H281">
        <v>13710.27</v>
      </c>
      <c r="I281">
        <v>1</v>
      </c>
      <c r="J281">
        <v>13710.27</v>
      </c>
      <c r="K281">
        <v>0</v>
      </c>
      <c r="L281">
        <v>0</v>
      </c>
      <c r="M281">
        <v>414711.54</v>
      </c>
      <c r="N281">
        <v>414711.54</v>
      </c>
      <c r="O281">
        <v>428421.81</v>
      </c>
      <c r="P281">
        <v>428421.81</v>
      </c>
      <c r="Q281" t="s">
        <v>497</v>
      </c>
      <c r="R281"/>
      <c r="S281"/>
      <c r="T281"/>
    </row>
    <row r="282" spans="1:20" customHeight="1" ht="14.5">
      <c r="A282" s="178">
        <v>170</v>
      </c>
      <c r="B282" s="178" t="s">
        <v>423</v>
      </c>
      <c r="C282" s="178">
        <v>-428422.81</v>
      </c>
      <c r="D282">
        <v>-428422.81</v>
      </c>
      <c r="E282">
        <v>12986289.73</v>
      </c>
      <c r="F282">
        <v>1</v>
      </c>
      <c r="G282">
        <v>12986289.73</v>
      </c>
      <c r="H282">
        <v>12986289.73</v>
      </c>
      <c r="I282">
        <v>1</v>
      </c>
      <c r="J282">
        <v>12986289.73</v>
      </c>
      <c r="K282">
        <v>0</v>
      </c>
      <c r="L282">
        <v>0</v>
      </c>
      <c r="M282">
        <v>-13414712.54</v>
      </c>
      <c r="N282">
        <v>-13414712.54</v>
      </c>
      <c r="O282">
        <v>-428422.81</v>
      </c>
      <c r="P282">
        <v>-428422.81</v>
      </c>
      <c r="Q282" t="s">
        <v>497</v>
      </c>
      <c r="R282"/>
      <c r="S282"/>
      <c r="T282"/>
    </row>
    <row r="283" spans="1:20">
      <c r="A283" s="178">
        <v>180</v>
      </c>
      <c r="B283" s="178" t="s">
        <v>424</v>
      </c>
      <c r="C283" s="178">
        <v>4381.65</v>
      </c>
      <c r="D283">
        <v>4381.65</v>
      </c>
      <c r="E283">
        <v>5851.52</v>
      </c>
      <c r="F283">
        <v>1</v>
      </c>
      <c r="G283">
        <v>5851.52</v>
      </c>
      <c r="H283">
        <v>5851.52</v>
      </c>
      <c r="I283">
        <v>1</v>
      </c>
      <c r="J283">
        <v>5851.52</v>
      </c>
      <c r="K283">
        <v>0</v>
      </c>
      <c r="L283">
        <v>0</v>
      </c>
      <c r="M283">
        <v>-1469.87</v>
      </c>
      <c r="N283">
        <v>-1469.87</v>
      </c>
      <c r="O283">
        <v>4381.65</v>
      </c>
      <c r="P283">
        <v>4381.65</v>
      </c>
      <c r="Q283" t="s">
        <v>497</v>
      </c>
      <c r="R283"/>
      <c r="S283"/>
      <c r="T283"/>
    </row>
    <row r="284" spans="1:20">
      <c r="A284" s="178">
        <v>190</v>
      </c>
      <c r="B284" s="178" t="s">
        <v>425</v>
      </c>
      <c r="C284" s="178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497</v>
      </c>
      <c r="R284"/>
      <c r="S284"/>
      <c r="T284"/>
    </row>
    <row r="285" spans="1:20" customHeight="1" ht="14.5">
      <c r="A285" s="178">
        <v>200</v>
      </c>
      <c r="B285" s="178" t="s">
        <v>426</v>
      </c>
      <c r="C285" s="178">
        <v>-432804.46</v>
      </c>
      <c r="D285">
        <v>-432804.46</v>
      </c>
      <c r="E285">
        <v>12980438.21</v>
      </c>
      <c r="F285">
        <v>1</v>
      </c>
      <c r="G285">
        <v>12980438.21</v>
      </c>
      <c r="H285">
        <v>12980438.21</v>
      </c>
      <c r="I285">
        <v>1</v>
      </c>
      <c r="J285">
        <v>12980438.21</v>
      </c>
      <c r="K285">
        <v>0</v>
      </c>
      <c r="L285">
        <v>0</v>
      </c>
      <c r="M285">
        <v>-13413242.67</v>
      </c>
      <c r="N285">
        <v>-13413242.67</v>
      </c>
      <c r="O285">
        <v>-432804.46</v>
      </c>
      <c r="P285">
        <v>-432804.46</v>
      </c>
      <c r="Q285" t="s">
        <v>497</v>
      </c>
      <c r="R285"/>
      <c r="S285"/>
      <c r="T285"/>
    </row>
    <row r="286" spans="1:20" customHeight="1" ht="14.5">
      <c r="A286" s="178">
        <v>210</v>
      </c>
      <c r="B286" s="178" t="s">
        <v>427</v>
      </c>
      <c r="C286" s="178">
        <v>-1</v>
      </c>
      <c r="D286">
        <v>-1</v>
      </c>
      <c r="E286">
        <v>13000000</v>
      </c>
      <c r="F286">
        <v>1</v>
      </c>
      <c r="G286">
        <v>13000000</v>
      </c>
      <c r="H286">
        <v>13000000</v>
      </c>
      <c r="I286">
        <v>1</v>
      </c>
      <c r="J286">
        <v>13000000</v>
      </c>
      <c r="K286">
        <v>0</v>
      </c>
      <c r="L286">
        <v>0</v>
      </c>
      <c r="M286">
        <v>-13000001</v>
      </c>
      <c r="N286">
        <v>-13000001</v>
      </c>
      <c r="O286">
        <v>-1</v>
      </c>
      <c r="P286">
        <v>-1</v>
      </c>
      <c r="Q286" t="s">
        <v>497</v>
      </c>
      <c r="R286"/>
      <c r="S286"/>
      <c r="T286"/>
    </row>
    <row r="287" spans="1:20" s="180" customFormat="1">
      <c r="A287" s="180" t="s">
        <v>446</v>
      </c>
      <c r="B287" s="180" t="s">
        <v>402</v>
      </c>
      <c r="C287" s="180" t="s">
        <v>509</v>
      </c>
      <c r="D287" s="180" t="s">
        <v>510</v>
      </c>
      <c r="E287" s="180" t="s">
        <v>403</v>
      </c>
      <c r="F287" s="180" t="s">
        <v>511</v>
      </c>
      <c r="G287" s="180" t="s">
        <v>512</v>
      </c>
      <c r="H287" s="180" t="s">
        <v>513</v>
      </c>
      <c r="I287" s="180" t="s">
        <v>514</v>
      </c>
      <c r="J287" s="180" t="s">
        <v>515</v>
      </c>
      <c r="K287" s="180" t="s">
        <v>437</v>
      </c>
      <c r="L287" s="180" t="s">
        <v>516</v>
      </c>
      <c r="M287" s="180" t="s">
        <v>530</v>
      </c>
      <c r="N287" s="180" t="s">
        <v>532</v>
      </c>
      <c r="O287" s="180" t="s">
        <v>533</v>
      </c>
      <c r="P287" s="180" t="s">
        <v>534</v>
      </c>
      <c r="Q287" s="180" t="s">
        <v>526</v>
      </c>
      <c r="R287" s="180" t="s">
        <v>405</v>
      </c>
      <c r="S287" s="180"/>
      <c r="T287" s="180"/>
    </row>
    <row r="288" spans="1:20" customHeight="1" ht="14.5">
      <c r="A288" s="178">
        <v>30</v>
      </c>
      <c r="B288" s="178" t="s">
        <v>406</v>
      </c>
      <c r="C288" s="178">
        <v>52571553.24</v>
      </c>
      <c r="D288">
        <v>52571553.24</v>
      </c>
      <c r="E288">
        <v>40483004.89</v>
      </c>
      <c r="F288">
        <v>1</v>
      </c>
      <c r="G288">
        <v>40483004.89</v>
      </c>
      <c r="H288">
        <v>40483004.89</v>
      </c>
      <c r="I288">
        <v>1</v>
      </c>
      <c r="J288">
        <v>40483004.89</v>
      </c>
      <c r="K288">
        <v>20811906</v>
      </c>
      <c r="L288">
        <v>20811906</v>
      </c>
      <c r="M288">
        <v>12088548.35</v>
      </c>
      <c r="N288">
        <v>12088548.35</v>
      </c>
      <c r="O288">
        <v>31759647.24</v>
      </c>
      <c r="P288">
        <v>31759647.24</v>
      </c>
      <c r="Q288">
        <v>20512736</v>
      </c>
      <c r="R288" t="s">
        <v>497</v>
      </c>
      <c r="S288"/>
      <c r="T288"/>
    </row>
    <row r="289" spans="1:20" customHeight="1" ht="14.5">
      <c r="A289" s="178">
        <v>40</v>
      </c>
      <c r="B289" s="178" t="s">
        <v>408</v>
      </c>
      <c r="C289" s="178">
        <v>107784.9</v>
      </c>
      <c r="D289">
        <v>107784.9</v>
      </c>
      <c r="E289">
        <v>131000.56</v>
      </c>
      <c r="F289">
        <v>1</v>
      </c>
      <c r="G289">
        <v>131000.56</v>
      </c>
      <c r="H289">
        <v>131000.56</v>
      </c>
      <c r="I289">
        <v>1</v>
      </c>
      <c r="J289">
        <v>131000.56</v>
      </c>
      <c r="K289">
        <v>0</v>
      </c>
      <c r="L289">
        <v>0</v>
      </c>
      <c r="M289">
        <v>-23215.66</v>
      </c>
      <c r="N289">
        <v>-23215.66</v>
      </c>
      <c r="O289">
        <v>107784.9</v>
      </c>
      <c r="P289">
        <v>107784.9</v>
      </c>
      <c r="Q289">
        <v>0</v>
      </c>
      <c r="R289" t="s">
        <v>497</v>
      </c>
      <c r="S289"/>
      <c r="T289"/>
    </row>
    <row r="290" spans="1:20">
      <c r="A290" s="178">
        <v>50</v>
      </c>
      <c r="B290" s="178" t="s">
        <v>409</v>
      </c>
      <c r="C290" s="178">
        <v>52463768.34</v>
      </c>
      <c r="D290">
        <v>52463768.34</v>
      </c>
      <c r="E290">
        <v>40352004.33</v>
      </c>
      <c r="F290">
        <v>1</v>
      </c>
      <c r="G290">
        <v>40352004.33</v>
      </c>
      <c r="H290">
        <v>40352004.33</v>
      </c>
      <c r="I290">
        <v>1</v>
      </c>
      <c r="J290">
        <v>40352004.33</v>
      </c>
      <c r="K290">
        <v>20811906</v>
      </c>
      <c r="L290">
        <v>20811906</v>
      </c>
      <c r="M290">
        <v>12111764.01</v>
      </c>
      <c r="N290">
        <v>12111764.01</v>
      </c>
      <c r="O290">
        <v>31651862.34</v>
      </c>
      <c r="P290">
        <v>31651862.34</v>
      </c>
      <c r="Q290">
        <v>20512736</v>
      </c>
      <c r="R290" t="s">
        <v>497</v>
      </c>
      <c r="S290"/>
      <c r="T290"/>
    </row>
    <row r="291" spans="1:20">
      <c r="A291" s="178">
        <v>60</v>
      </c>
      <c r="B291" s="178" t="s">
        <v>410</v>
      </c>
      <c r="C291" s="178">
        <v>43447640.04</v>
      </c>
      <c r="D291">
        <v>43447640.04</v>
      </c>
      <c r="E291">
        <v>29770243.33</v>
      </c>
      <c r="F291">
        <v>1</v>
      </c>
      <c r="G291">
        <v>29770243.33</v>
      </c>
      <c r="H291">
        <v>29770243.33</v>
      </c>
      <c r="I291">
        <v>1</v>
      </c>
      <c r="J291">
        <v>29770243.33</v>
      </c>
      <c r="K291">
        <v>10192916</v>
      </c>
      <c r="L291">
        <v>10192916</v>
      </c>
      <c r="M291">
        <v>13677396.71</v>
      </c>
      <c r="N291">
        <v>13677396.71</v>
      </c>
      <c r="O291">
        <v>33254724.04</v>
      </c>
      <c r="P291">
        <v>33254724.04</v>
      </c>
      <c r="Q291">
        <v>10056136</v>
      </c>
      <c r="R291" t="s">
        <v>497</v>
      </c>
      <c r="S291"/>
      <c r="T291"/>
    </row>
    <row r="292" spans="1:20">
      <c r="A292" s="178">
        <v>70</v>
      </c>
      <c r="B292" s="178" t="s">
        <v>411</v>
      </c>
      <c r="C292" s="178">
        <v>9016128.3</v>
      </c>
      <c r="D292">
        <v>9016128.3</v>
      </c>
      <c r="E292">
        <v>10581761</v>
      </c>
      <c r="F292">
        <v>1</v>
      </c>
      <c r="G292">
        <v>10581761</v>
      </c>
      <c r="H292">
        <v>10581761</v>
      </c>
      <c r="I292">
        <v>1</v>
      </c>
      <c r="J292">
        <v>10581761</v>
      </c>
      <c r="K292">
        <v>10618990</v>
      </c>
      <c r="L292">
        <v>10618990</v>
      </c>
      <c r="M292">
        <v>-1565632.7</v>
      </c>
      <c r="N292">
        <v>-1565632.7</v>
      </c>
      <c r="O292">
        <v>-1602861.7</v>
      </c>
      <c r="P292">
        <v>-1602861.7</v>
      </c>
      <c r="Q292">
        <v>10456600</v>
      </c>
      <c r="R292" t="s">
        <v>497</v>
      </c>
      <c r="S292"/>
      <c r="T292"/>
    </row>
    <row r="293" spans="1:20" customHeight="1" ht="14.5">
      <c r="A293" s="178">
        <v>80</v>
      </c>
      <c r="B293" s="178" t="s">
        <v>412</v>
      </c>
      <c r="C293" s="178">
        <v>4154787.93</v>
      </c>
      <c r="D293">
        <v>4154787.93</v>
      </c>
      <c r="E293">
        <v>3790446.58</v>
      </c>
      <c r="F293">
        <v>1</v>
      </c>
      <c r="G293">
        <v>3790446.58</v>
      </c>
      <c r="H293">
        <v>3790446.58</v>
      </c>
      <c r="I293">
        <v>1</v>
      </c>
      <c r="J293">
        <v>3790446.58</v>
      </c>
      <c r="K293">
        <v>4011296</v>
      </c>
      <c r="L293">
        <v>4011296</v>
      </c>
      <c r="M293">
        <v>364341.35</v>
      </c>
      <c r="N293">
        <v>364341.35</v>
      </c>
      <c r="O293">
        <v>143491.93</v>
      </c>
      <c r="P293">
        <v>143491.93</v>
      </c>
      <c r="Q293">
        <v>4011296</v>
      </c>
      <c r="R293" t="s">
        <v>497</v>
      </c>
      <c r="S293"/>
      <c r="T293"/>
    </row>
    <row r="294" spans="1:20" customHeight="1" ht="14.5">
      <c r="A294" s="178">
        <v>90</v>
      </c>
      <c r="B294" s="178" t="s">
        <v>413</v>
      </c>
      <c r="C294" s="178">
        <v>2684310.41</v>
      </c>
      <c r="D294">
        <v>2684310.41</v>
      </c>
      <c r="E294">
        <v>2616334.55</v>
      </c>
      <c r="F294">
        <v>1</v>
      </c>
      <c r="G294">
        <v>2616334.55</v>
      </c>
      <c r="H294">
        <v>2616334.55</v>
      </c>
      <c r="I294">
        <v>1</v>
      </c>
      <c r="J294">
        <v>2616334.55</v>
      </c>
      <c r="K294">
        <v>2571954</v>
      </c>
      <c r="L294">
        <v>2571954</v>
      </c>
      <c r="M294">
        <v>67975.86</v>
      </c>
      <c r="N294">
        <v>67975.86</v>
      </c>
      <c r="O294">
        <v>112356.41</v>
      </c>
      <c r="P294">
        <v>112356.41</v>
      </c>
      <c r="Q294">
        <v>2571954</v>
      </c>
      <c r="R294" t="s">
        <v>497</v>
      </c>
      <c r="S294"/>
      <c r="T294"/>
    </row>
    <row r="295" spans="1:20" customHeight="1" ht="14.5">
      <c r="A295" s="178">
        <v>100</v>
      </c>
      <c r="B295" s="178" t="s">
        <v>414</v>
      </c>
      <c r="C295" s="178">
        <v>355150.84</v>
      </c>
      <c r="D295">
        <v>355150.84</v>
      </c>
      <c r="E295">
        <v>399901.51</v>
      </c>
      <c r="F295">
        <v>1</v>
      </c>
      <c r="G295">
        <v>399901.51</v>
      </c>
      <c r="H295">
        <v>399901.51</v>
      </c>
      <c r="I295">
        <v>1</v>
      </c>
      <c r="J295">
        <v>399901.51</v>
      </c>
      <c r="K295">
        <v>389594</v>
      </c>
      <c r="L295">
        <v>389594</v>
      </c>
      <c r="M295">
        <v>-44750.67</v>
      </c>
      <c r="N295">
        <v>-44750.67</v>
      </c>
      <c r="O295">
        <v>-34443.16</v>
      </c>
      <c r="P295">
        <v>-34443.16</v>
      </c>
      <c r="Q295">
        <v>389594</v>
      </c>
      <c r="R295" t="s">
        <v>497</v>
      </c>
      <c r="S295"/>
      <c r="T295"/>
    </row>
    <row r="296" spans="1:20" customHeight="1" ht="14.5">
      <c r="A296" s="178">
        <v>110</v>
      </c>
      <c r="B296" s="178" t="s">
        <v>415</v>
      </c>
      <c r="C296" s="178">
        <v>7194249.18</v>
      </c>
      <c r="D296">
        <v>7194249.18</v>
      </c>
      <c r="E296">
        <v>6806682.64</v>
      </c>
      <c r="F296">
        <v>1</v>
      </c>
      <c r="G296">
        <v>6806682.64</v>
      </c>
      <c r="H296">
        <v>6806682.64</v>
      </c>
      <c r="I296">
        <v>1</v>
      </c>
      <c r="J296">
        <v>6806682.64</v>
      </c>
      <c r="K296">
        <v>6972844</v>
      </c>
      <c r="L296">
        <v>6972844</v>
      </c>
      <c r="M296">
        <v>387566.54</v>
      </c>
      <c r="N296">
        <v>387566.54</v>
      </c>
      <c r="O296">
        <v>221405.18</v>
      </c>
      <c r="P296">
        <v>221405.18</v>
      </c>
      <c r="Q296">
        <v>6972844</v>
      </c>
      <c r="R296" t="s">
        <v>497</v>
      </c>
      <c r="S296"/>
      <c r="T296"/>
    </row>
    <row r="297" spans="1:20" customHeight="1" ht="14.5">
      <c r="A297" s="178">
        <v>120</v>
      </c>
      <c r="B297" s="178" t="s">
        <v>416</v>
      </c>
      <c r="C297" s="178">
        <v>1821879.12</v>
      </c>
      <c r="D297">
        <v>1821879.12</v>
      </c>
      <c r="E297">
        <v>3775078.36</v>
      </c>
      <c r="F297">
        <v>1</v>
      </c>
      <c r="G297">
        <v>3775078.36</v>
      </c>
      <c r="H297">
        <v>3775078.36</v>
      </c>
      <c r="I297">
        <v>1</v>
      </c>
      <c r="J297">
        <v>3775078.36</v>
      </c>
      <c r="K297">
        <v>3646146</v>
      </c>
      <c r="L297">
        <v>3646146</v>
      </c>
      <c r="M297">
        <v>-1953199.24</v>
      </c>
      <c r="N297">
        <v>-1953199.24</v>
      </c>
      <c r="O297">
        <v>-1824266.88</v>
      </c>
      <c r="P297">
        <v>-1824266.88</v>
      </c>
      <c r="Q297">
        <v>3483756</v>
      </c>
      <c r="R297" t="s">
        <v>497</v>
      </c>
      <c r="S297"/>
      <c r="T297"/>
    </row>
    <row r="298" spans="1:20" customHeight="1" ht="14.5">
      <c r="A298" s="178">
        <v>130</v>
      </c>
      <c r="B298" s="178" t="s">
        <v>417</v>
      </c>
      <c r="C298" s="178">
        <v>-965.53</v>
      </c>
      <c r="D298">
        <v>-965.53</v>
      </c>
      <c r="E298">
        <v>166.58</v>
      </c>
      <c r="F298">
        <v>1</v>
      </c>
      <c r="G298">
        <v>166.58</v>
      </c>
      <c r="H298">
        <v>166.58</v>
      </c>
      <c r="I298">
        <v>1</v>
      </c>
      <c r="J298">
        <v>166.58</v>
      </c>
      <c r="K298">
        <v>0</v>
      </c>
      <c r="L298">
        <v>0</v>
      </c>
      <c r="M298">
        <v>-1132.11</v>
      </c>
      <c r="N298">
        <v>-1132.11</v>
      </c>
      <c r="O298">
        <v>-965.53</v>
      </c>
      <c r="P298">
        <v>-965.53</v>
      </c>
      <c r="Q298">
        <v>0</v>
      </c>
      <c r="R298" t="s">
        <v>497</v>
      </c>
      <c r="S298"/>
      <c r="T298"/>
    </row>
    <row r="299" spans="1:20" customHeight="1" ht="14.5">
      <c r="A299" s="178">
        <v>135</v>
      </c>
      <c r="B299" s="178" t="s">
        <v>418</v>
      </c>
      <c r="C299" s="178">
        <v>-628075.91</v>
      </c>
      <c r="D299">
        <v>-628075.91</v>
      </c>
      <c r="E299">
        <v>-252882.29</v>
      </c>
      <c r="F299">
        <v>1</v>
      </c>
      <c r="G299">
        <v>-252882.29</v>
      </c>
      <c r="H299">
        <v>-252882.29</v>
      </c>
      <c r="I299">
        <v>1</v>
      </c>
      <c r="J299">
        <v>-252882.29</v>
      </c>
      <c r="K299">
        <v>0</v>
      </c>
      <c r="L299">
        <v>0</v>
      </c>
      <c r="M299">
        <v>-375193.62</v>
      </c>
      <c r="N299">
        <v>-375193.62</v>
      </c>
      <c r="O299">
        <v>-628075.91</v>
      </c>
      <c r="P299">
        <v>-628075.91</v>
      </c>
      <c r="Q299">
        <v>0</v>
      </c>
      <c r="R299" t="s">
        <v>497</v>
      </c>
      <c r="S299"/>
      <c r="T299"/>
    </row>
    <row r="300" spans="1:20" customHeight="1" ht="14.5">
      <c r="A300" s="178">
        <v>140</v>
      </c>
      <c r="B300" s="178" t="s">
        <v>419</v>
      </c>
      <c r="C300" s="178">
        <v>22.86</v>
      </c>
      <c r="D300">
        <v>22.86</v>
      </c>
      <c r="E300">
        <v>38266.54</v>
      </c>
      <c r="F300">
        <v>1</v>
      </c>
      <c r="G300">
        <v>38266.54</v>
      </c>
      <c r="H300">
        <v>38266.54</v>
      </c>
      <c r="I300">
        <v>1</v>
      </c>
      <c r="J300">
        <v>38266.54</v>
      </c>
      <c r="K300">
        <v>50000</v>
      </c>
      <c r="L300">
        <v>50000</v>
      </c>
      <c r="M300">
        <v>-38243.68</v>
      </c>
      <c r="N300">
        <v>-38243.68</v>
      </c>
      <c r="O300">
        <v>-49977.14</v>
      </c>
      <c r="P300">
        <v>-49977.14</v>
      </c>
      <c r="Q300">
        <v>52263</v>
      </c>
      <c r="R300" t="s">
        <v>497</v>
      </c>
      <c r="S300"/>
      <c r="T300"/>
    </row>
    <row r="301" spans="1:20" customHeight="1" ht="14.5">
      <c r="A301" s="178">
        <v>150</v>
      </c>
      <c r="B301" s="178" t="s">
        <v>420</v>
      </c>
      <c r="C301" s="178">
        <v>0.22</v>
      </c>
      <c r="D301">
        <v>0.22</v>
      </c>
      <c r="E301">
        <v>0.14</v>
      </c>
      <c r="F301">
        <v>1</v>
      </c>
      <c r="G301">
        <v>0.14</v>
      </c>
      <c r="H301">
        <v>0.14</v>
      </c>
      <c r="I301">
        <v>1</v>
      </c>
      <c r="J301">
        <v>0.14</v>
      </c>
      <c r="K301">
        <v>0</v>
      </c>
      <c r="L301">
        <v>0</v>
      </c>
      <c r="M301">
        <v>0.08</v>
      </c>
      <c r="N301">
        <v>0.08</v>
      </c>
      <c r="O301">
        <v>0.22</v>
      </c>
      <c r="P301">
        <v>0.22</v>
      </c>
      <c r="Q301">
        <v>0</v>
      </c>
      <c r="R301" t="s">
        <v>497</v>
      </c>
      <c r="S301"/>
      <c r="T301"/>
    </row>
    <row r="302" spans="1:20" customHeight="1" ht="14.5">
      <c r="A302" s="178">
        <v>155</v>
      </c>
      <c r="B302" s="178" t="s">
        <v>421</v>
      </c>
      <c r="C302" s="178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497</v>
      </c>
      <c r="S302"/>
      <c r="T302"/>
    </row>
    <row r="303" spans="1:20" customHeight="1" ht="14.5">
      <c r="A303" s="178">
        <v>160</v>
      </c>
      <c r="B303" s="178" t="s">
        <v>422</v>
      </c>
      <c r="C303" s="178">
        <v>-629018.8</v>
      </c>
      <c r="D303">
        <v>-629018.8</v>
      </c>
      <c r="E303">
        <v>-214449.31</v>
      </c>
      <c r="F303">
        <v>1</v>
      </c>
      <c r="G303">
        <v>-214449.31</v>
      </c>
      <c r="H303">
        <v>-214449.31</v>
      </c>
      <c r="I303">
        <v>1</v>
      </c>
      <c r="J303">
        <v>-214449.31</v>
      </c>
      <c r="K303">
        <v>50000</v>
      </c>
      <c r="L303">
        <v>50000</v>
      </c>
      <c r="M303">
        <v>-414569.49</v>
      </c>
      <c r="N303">
        <v>-414569.49</v>
      </c>
      <c r="O303">
        <v>-679018.8</v>
      </c>
      <c r="P303">
        <v>-679018.8</v>
      </c>
      <c r="Q303">
        <v>52263</v>
      </c>
      <c r="R303" t="s">
        <v>497</v>
      </c>
      <c r="S303"/>
      <c r="T303"/>
    </row>
    <row r="304" spans="1:20" customHeight="1" ht="14.5">
      <c r="A304" s="178">
        <v>170</v>
      </c>
      <c r="B304" s="178" t="s">
        <v>423</v>
      </c>
      <c r="C304" s="178">
        <v>2450897.92</v>
      </c>
      <c r="D304">
        <v>2450897.92</v>
      </c>
      <c r="E304">
        <v>3989527.67</v>
      </c>
      <c r="F304">
        <v>1</v>
      </c>
      <c r="G304">
        <v>3989527.67</v>
      </c>
      <c r="H304">
        <v>3989527.67</v>
      </c>
      <c r="I304">
        <v>1</v>
      </c>
      <c r="J304">
        <v>3989527.67</v>
      </c>
      <c r="K304">
        <v>3596146</v>
      </c>
      <c r="L304">
        <v>3596146</v>
      </c>
      <c r="M304">
        <v>-1538629.75</v>
      </c>
      <c r="N304">
        <v>-1538629.75</v>
      </c>
      <c r="O304">
        <v>-1145248.08</v>
      </c>
      <c r="P304">
        <v>-1145248.08</v>
      </c>
      <c r="Q304">
        <v>3431493</v>
      </c>
      <c r="R304" t="s">
        <v>497</v>
      </c>
      <c r="S304"/>
      <c r="T304"/>
    </row>
    <row r="305" spans="1:20">
      <c r="A305" s="178">
        <v>180</v>
      </c>
      <c r="B305" s="178" t="s">
        <v>424</v>
      </c>
      <c r="C305" s="178">
        <v>1382151.46</v>
      </c>
      <c r="D305">
        <v>1382151.46</v>
      </c>
      <c r="E305">
        <v>628147</v>
      </c>
      <c r="F305">
        <v>1</v>
      </c>
      <c r="G305">
        <v>628147</v>
      </c>
      <c r="H305">
        <v>628147</v>
      </c>
      <c r="I305">
        <v>1</v>
      </c>
      <c r="J305">
        <v>628147</v>
      </c>
      <c r="K305">
        <v>586039</v>
      </c>
      <c r="L305">
        <v>586039</v>
      </c>
      <c r="M305">
        <v>754004.46</v>
      </c>
      <c r="N305">
        <v>754004.46</v>
      </c>
      <c r="O305">
        <v>796112.46</v>
      </c>
      <c r="P305">
        <v>796112.46</v>
      </c>
      <c r="Q305">
        <v>577615</v>
      </c>
      <c r="R305" t="s">
        <v>497</v>
      </c>
      <c r="S305"/>
      <c r="T305"/>
    </row>
    <row r="306" spans="1:20">
      <c r="A306" s="178">
        <v>190</v>
      </c>
      <c r="B306" s="178" t="s">
        <v>425</v>
      </c>
      <c r="C306" s="178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497</v>
      </c>
      <c r="S306"/>
      <c r="T306"/>
    </row>
    <row r="307" spans="1:20" customHeight="1" ht="14.5">
      <c r="A307" s="178">
        <v>200</v>
      </c>
      <c r="B307" s="178" t="s">
        <v>426</v>
      </c>
      <c r="C307" s="178">
        <v>1068746.46</v>
      </c>
      <c r="D307">
        <v>1068746.46</v>
      </c>
      <c r="E307">
        <v>3361380.67</v>
      </c>
      <c r="F307">
        <v>1</v>
      </c>
      <c r="G307">
        <v>3361380.67</v>
      </c>
      <c r="H307">
        <v>3361380.67</v>
      </c>
      <c r="I307">
        <v>1</v>
      </c>
      <c r="J307">
        <v>3361380.67</v>
      </c>
      <c r="K307">
        <v>3010107</v>
      </c>
      <c r="L307">
        <v>3010107</v>
      </c>
      <c r="M307">
        <v>-2292634.21</v>
      </c>
      <c r="N307">
        <v>-2292634.21</v>
      </c>
      <c r="O307">
        <v>-1941360.54</v>
      </c>
      <c r="P307">
        <v>-1941360.54</v>
      </c>
      <c r="Q307">
        <v>2853878</v>
      </c>
      <c r="R307" t="s">
        <v>497</v>
      </c>
      <c r="S307"/>
      <c r="T307"/>
    </row>
    <row r="308" spans="1:20" customHeight="1" ht="14.5">
      <c r="A308" s="178">
        <v>210</v>
      </c>
      <c r="B308" s="178" t="s">
        <v>427</v>
      </c>
      <c r="C308" s="178">
        <v>2177029.96</v>
      </c>
      <c r="D308">
        <v>2177029.96</v>
      </c>
      <c r="E308">
        <v>4174979.87</v>
      </c>
      <c r="F308">
        <v>1</v>
      </c>
      <c r="G308">
        <v>4174979.87</v>
      </c>
      <c r="H308">
        <v>4174979.87</v>
      </c>
      <c r="I308">
        <v>1</v>
      </c>
      <c r="J308">
        <v>4174979.87</v>
      </c>
      <c r="K308">
        <v>4035740</v>
      </c>
      <c r="L308">
        <v>4035740</v>
      </c>
      <c r="M308">
        <v>-1997949.91</v>
      </c>
      <c r="N308">
        <v>-1997949.91</v>
      </c>
      <c r="O308">
        <v>-1858710.04</v>
      </c>
      <c r="P308">
        <v>-1858710.04</v>
      </c>
      <c r="Q308">
        <v>3873350</v>
      </c>
      <c r="R308" t="s">
        <v>497</v>
      </c>
      <c r="S308"/>
      <c r="T308"/>
    </row>
    <row r="309" spans="1:20" s="180" customFormat="1">
      <c r="A309" s="180" t="s">
        <v>447</v>
      </c>
      <c r="B309" s="180" t="s">
        <v>402</v>
      </c>
      <c r="C309" s="180" t="s">
        <v>509</v>
      </c>
      <c r="D309" s="180" t="s">
        <v>510</v>
      </c>
      <c r="E309" s="180" t="s">
        <v>403</v>
      </c>
      <c r="F309" s="180" t="s">
        <v>511</v>
      </c>
      <c r="G309" s="180" t="s">
        <v>512</v>
      </c>
      <c r="H309" s="180" t="s">
        <v>513</v>
      </c>
      <c r="I309" s="180" t="s">
        <v>514</v>
      </c>
      <c r="J309" s="180" t="s">
        <v>515</v>
      </c>
      <c r="K309" s="180" t="s">
        <v>437</v>
      </c>
      <c r="L309" s="180" t="s">
        <v>516</v>
      </c>
      <c r="M309" s="180" t="s">
        <v>530</v>
      </c>
      <c r="N309" s="180" t="s">
        <v>532</v>
      </c>
      <c r="O309" s="180" t="s">
        <v>533</v>
      </c>
      <c r="P309" s="180" t="s">
        <v>534</v>
      </c>
      <c r="Q309" s="180" t="s">
        <v>526</v>
      </c>
      <c r="R309" s="180" t="s">
        <v>405</v>
      </c>
      <c r="S309" s="180"/>
      <c r="T309" s="180"/>
    </row>
    <row r="310" spans="1:20" customHeight="1" ht="14.5">
      <c r="A310" s="178">
        <v>30</v>
      </c>
      <c r="B310" s="178" t="s">
        <v>406</v>
      </c>
      <c r="C310" s="178">
        <v>34577601.05</v>
      </c>
      <c r="D310">
        <v>34577601.05</v>
      </c>
      <c r="E310">
        <v>26603230.2</v>
      </c>
      <c r="F310">
        <v>1</v>
      </c>
      <c r="G310">
        <v>26603230.2</v>
      </c>
      <c r="H310">
        <v>26603230.2</v>
      </c>
      <c r="I310">
        <v>1</v>
      </c>
      <c r="J310">
        <v>26603230.2</v>
      </c>
      <c r="K310">
        <v>28883092</v>
      </c>
      <c r="L310">
        <v>28883092</v>
      </c>
      <c r="M310">
        <v>7974370.85</v>
      </c>
      <c r="N310">
        <v>7974370.85</v>
      </c>
      <c r="O310">
        <v>5694509.05</v>
      </c>
      <c r="P310">
        <v>5694509.05</v>
      </c>
      <c r="Q310">
        <v>27437825</v>
      </c>
      <c r="R310" t="s">
        <v>497</v>
      </c>
      <c r="S310"/>
      <c r="T310"/>
    </row>
    <row r="311" spans="1:20" customHeight="1" ht="14.5">
      <c r="A311" s="178">
        <v>40</v>
      </c>
      <c r="B311" s="178" t="s">
        <v>408</v>
      </c>
      <c r="C311" s="178">
        <v>-557480.83</v>
      </c>
      <c r="D311">
        <v>-557480.83</v>
      </c>
      <c r="E311">
        <v>-433554.08</v>
      </c>
      <c r="F311">
        <v>1</v>
      </c>
      <c r="G311">
        <v>-433554.08</v>
      </c>
      <c r="H311">
        <v>-433554.08</v>
      </c>
      <c r="I311">
        <v>1</v>
      </c>
      <c r="J311">
        <v>-433554.08</v>
      </c>
      <c r="K311">
        <v>0</v>
      </c>
      <c r="L311">
        <v>0</v>
      </c>
      <c r="M311">
        <v>-123926.75</v>
      </c>
      <c r="N311">
        <v>-123926.75</v>
      </c>
      <c r="O311">
        <v>-557480.83</v>
      </c>
      <c r="P311">
        <v>-557480.83</v>
      </c>
      <c r="Q311">
        <v>0</v>
      </c>
      <c r="R311" t="s">
        <v>497</v>
      </c>
      <c r="S311"/>
      <c r="T311"/>
    </row>
    <row r="312" spans="1:20">
      <c r="A312" s="178">
        <v>50</v>
      </c>
      <c r="B312" s="178" t="s">
        <v>409</v>
      </c>
      <c r="C312" s="178">
        <v>34020120.22</v>
      </c>
      <c r="D312">
        <v>34020120.22</v>
      </c>
      <c r="E312">
        <v>26169676.12</v>
      </c>
      <c r="F312">
        <v>1</v>
      </c>
      <c r="G312">
        <v>26169676.12</v>
      </c>
      <c r="H312">
        <v>26169676.12</v>
      </c>
      <c r="I312">
        <v>1</v>
      </c>
      <c r="J312">
        <v>26169676.12</v>
      </c>
      <c r="K312">
        <v>28883092</v>
      </c>
      <c r="L312">
        <v>28883092</v>
      </c>
      <c r="M312">
        <v>7850444.1</v>
      </c>
      <c r="N312">
        <v>7850444.1</v>
      </c>
      <c r="O312">
        <v>5137028.22</v>
      </c>
      <c r="P312">
        <v>5137028.22</v>
      </c>
      <c r="Q312">
        <v>27437825</v>
      </c>
      <c r="R312" t="s">
        <v>497</v>
      </c>
      <c r="S312"/>
      <c r="T312"/>
    </row>
    <row r="313" spans="1:20">
      <c r="A313" s="178">
        <v>60</v>
      </c>
      <c r="B313" s="178" t="s">
        <v>410</v>
      </c>
      <c r="C313" s="178">
        <v>21350560.33</v>
      </c>
      <c r="D313">
        <v>21350560.33</v>
      </c>
      <c r="E313">
        <v>14427196.25</v>
      </c>
      <c r="F313">
        <v>1</v>
      </c>
      <c r="G313">
        <v>14427196.25</v>
      </c>
      <c r="H313">
        <v>14427196.25</v>
      </c>
      <c r="I313">
        <v>1</v>
      </c>
      <c r="J313">
        <v>14427196.25</v>
      </c>
      <c r="K313">
        <v>16167829</v>
      </c>
      <c r="L313">
        <v>16167829</v>
      </c>
      <c r="M313">
        <v>6923364.08</v>
      </c>
      <c r="N313">
        <v>6923364.08</v>
      </c>
      <c r="O313">
        <v>5182731.33</v>
      </c>
      <c r="P313">
        <v>5182731.33</v>
      </c>
      <c r="Q313">
        <v>15381461</v>
      </c>
      <c r="R313" t="s">
        <v>497</v>
      </c>
      <c r="S313"/>
      <c r="T313"/>
    </row>
    <row r="314" spans="1:20">
      <c r="A314" s="178">
        <v>70</v>
      </c>
      <c r="B314" s="178" t="s">
        <v>411</v>
      </c>
      <c r="C314" s="178">
        <v>12669559.89</v>
      </c>
      <c r="D314">
        <v>12669559.89</v>
      </c>
      <c r="E314">
        <v>11742479.87</v>
      </c>
      <c r="F314">
        <v>1</v>
      </c>
      <c r="G314">
        <v>11742479.87</v>
      </c>
      <c r="H314">
        <v>11742479.87</v>
      </c>
      <c r="I314">
        <v>1</v>
      </c>
      <c r="J314">
        <v>11742479.87</v>
      </c>
      <c r="K314">
        <v>12715263</v>
      </c>
      <c r="L314">
        <v>12715263</v>
      </c>
      <c r="M314">
        <v>927080.02</v>
      </c>
      <c r="N314">
        <v>927080.02</v>
      </c>
      <c r="O314">
        <v>-45703.11</v>
      </c>
      <c r="P314">
        <v>-45703.11</v>
      </c>
      <c r="Q314">
        <v>12056364</v>
      </c>
      <c r="R314" t="s">
        <v>497</v>
      </c>
      <c r="S314"/>
      <c r="T314"/>
    </row>
    <row r="315" spans="1:20" customHeight="1" ht="14.5">
      <c r="A315" s="178">
        <v>80</v>
      </c>
      <c r="B315" s="178" t="s">
        <v>412</v>
      </c>
      <c r="C315" s="178">
        <v>7349696.6</v>
      </c>
      <c r="D315">
        <v>7349696.6</v>
      </c>
      <c r="E315">
        <v>7197969.84</v>
      </c>
      <c r="F315">
        <v>1</v>
      </c>
      <c r="G315">
        <v>7197969.84</v>
      </c>
      <c r="H315">
        <v>7197969.84</v>
      </c>
      <c r="I315">
        <v>1</v>
      </c>
      <c r="J315">
        <v>7197969.84</v>
      </c>
      <c r="K315">
        <v>6662465</v>
      </c>
      <c r="L315">
        <v>6662465</v>
      </c>
      <c r="M315">
        <v>151726.76</v>
      </c>
      <c r="N315">
        <v>151726.76</v>
      </c>
      <c r="O315">
        <v>687231.6</v>
      </c>
      <c r="P315">
        <v>687231.6</v>
      </c>
      <c r="Q315">
        <v>6336974</v>
      </c>
      <c r="R315" t="s">
        <v>497</v>
      </c>
      <c r="S315"/>
      <c r="T315"/>
    </row>
    <row r="316" spans="1:20" customHeight="1" ht="14.5">
      <c r="A316" s="178">
        <v>90</v>
      </c>
      <c r="B316" s="178" t="s">
        <v>413</v>
      </c>
      <c r="C316" s="178">
        <v>1881589.11</v>
      </c>
      <c r="D316">
        <v>1881589.11</v>
      </c>
      <c r="E316">
        <v>1599804.6</v>
      </c>
      <c r="F316">
        <v>1</v>
      </c>
      <c r="G316">
        <v>1599804.6</v>
      </c>
      <c r="H316">
        <v>1599804.6</v>
      </c>
      <c r="I316">
        <v>1</v>
      </c>
      <c r="J316">
        <v>1599804.6</v>
      </c>
      <c r="K316">
        <v>1861747</v>
      </c>
      <c r="L316">
        <v>1861747</v>
      </c>
      <c r="M316">
        <v>281784.51</v>
      </c>
      <c r="N316">
        <v>281784.51</v>
      </c>
      <c r="O316">
        <v>19842.11</v>
      </c>
      <c r="P316">
        <v>19842.11</v>
      </c>
      <c r="Q316">
        <v>1864238</v>
      </c>
      <c r="R316" t="s">
        <v>497</v>
      </c>
      <c r="S316"/>
      <c r="T316"/>
    </row>
    <row r="317" spans="1:20" customHeight="1" ht="14.5">
      <c r="A317" s="178">
        <v>100</v>
      </c>
      <c r="B317" s="178" t="s">
        <v>414</v>
      </c>
      <c r="C317" s="178">
        <v>631871.85</v>
      </c>
      <c r="D317">
        <v>631871.85</v>
      </c>
      <c r="E317">
        <v>668978.24</v>
      </c>
      <c r="F317">
        <v>1</v>
      </c>
      <c r="G317">
        <v>668978.24</v>
      </c>
      <c r="H317">
        <v>668978.24</v>
      </c>
      <c r="I317">
        <v>1</v>
      </c>
      <c r="J317">
        <v>668978.24</v>
      </c>
      <c r="K317">
        <v>665903</v>
      </c>
      <c r="L317">
        <v>665903</v>
      </c>
      <c r="M317">
        <v>-37106.39</v>
      </c>
      <c r="N317">
        <v>-37106.39</v>
      </c>
      <c r="O317">
        <v>-34031.15</v>
      </c>
      <c r="P317">
        <v>-34031.15</v>
      </c>
      <c r="Q317">
        <v>665903</v>
      </c>
      <c r="R317" t="s">
        <v>497</v>
      </c>
      <c r="S317"/>
      <c r="T317"/>
    </row>
    <row r="318" spans="1:20" customHeight="1" ht="14.5">
      <c r="A318" s="178">
        <v>110</v>
      </c>
      <c r="B318" s="178" t="s">
        <v>415</v>
      </c>
      <c r="C318" s="178">
        <v>9863157.56</v>
      </c>
      <c r="D318">
        <v>9863157.56</v>
      </c>
      <c r="E318">
        <v>9466752.68</v>
      </c>
      <c r="F318">
        <v>1</v>
      </c>
      <c r="G318">
        <v>9466752.68</v>
      </c>
      <c r="H318">
        <v>9466752.68</v>
      </c>
      <c r="I318">
        <v>1</v>
      </c>
      <c r="J318">
        <v>9466752.68</v>
      </c>
      <c r="K318">
        <v>9190115</v>
      </c>
      <c r="L318">
        <v>9190115</v>
      </c>
      <c r="M318">
        <v>396404.88</v>
      </c>
      <c r="N318">
        <v>396404.88</v>
      </c>
      <c r="O318">
        <v>673042.56</v>
      </c>
      <c r="P318">
        <v>673042.56</v>
      </c>
      <c r="Q318">
        <v>8867115</v>
      </c>
      <c r="R318" t="s">
        <v>497</v>
      </c>
      <c r="S318"/>
      <c r="T318"/>
    </row>
    <row r="319" spans="1:20" customHeight="1" ht="14.5">
      <c r="A319" s="178">
        <v>120</v>
      </c>
      <c r="B319" s="178" t="s">
        <v>416</v>
      </c>
      <c r="C319" s="178">
        <v>2806402.33</v>
      </c>
      <c r="D319">
        <v>2806402.33</v>
      </c>
      <c r="E319">
        <v>2275727.19</v>
      </c>
      <c r="F319">
        <v>1</v>
      </c>
      <c r="G319">
        <v>2275727.19</v>
      </c>
      <c r="H319">
        <v>2275727.19</v>
      </c>
      <c r="I319">
        <v>1</v>
      </c>
      <c r="J319">
        <v>2275727.19</v>
      </c>
      <c r="K319">
        <v>3525148</v>
      </c>
      <c r="L319">
        <v>3525148</v>
      </c>
      <c r="M319">
        <v>530675.14</v>
      </c>
      <c r="N319">
        <v>530675.14</v>
      </c>
      <c r="O319">
        <v>-718745.67</v>
      </c>
      <c r="P319">
        <v>-718745.67</v>
      </c>
      <c r="Q319">
        <v>3189249</v>
      </c>
      <c r="R319" t="s">
        <v>497</v>
      </c>
      <c r="S319"/>
      <c r="T319"/>
    </row>
    <row r="320" spans="1:20" customHeight="1" ht="14.5">
      <c r="A320" s="178">
        <v>130</v>
      </c>
      <c r="B320" s="178" t="s">
        <v>417</v>
      </c>
      <c r="C320" s="178">
        <v>6130</v>
      </c>
      <c r="D320">
        <v>6130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6130</v>
      </c>
      <c r="N320">
        <v>6130</v>
      </c>
      <c r="O320">
        <v>6130</v>
      </c>
      <c r="P320">
        <v>6130</v>
      </c>
      <c r="Q320">
        <v>0</v>
      </c>
      <c r="R320" t="s">
        <v>497</v>
      </c>
      <c r="S320"/>
      <c r="T320"/>
    </row>
    <row r="321" spans="1:20" customHeight="1" ht="14.5">
      <c r="A321" s="178">
        <v>135</v>
      </c>
      <c r="B321" s="178" t="s">
        <v>418</v>
      </c>
      <c r="C321" s="178">
        <v>-285526.11</v>
      </c>
      <c r="D321">
        <v>-285526.11</v>
      </c>
      <c r="E321">
        <v>-457036.58</v>
      </c>
      <c r="F321">
        <v>1</v>
      </c>
      <c r="G321">
        <v>-457036.58</v>
      </c>
      <c r="H321">
        <v>-457036.58</v>
      </c>
      <c r="I321">
        <v>1</v>
      </c>
      <c r="J321">
        <v>-457036.58</v>
      </c>
      <c r="K321">
        <v>0</v>
      </c>
      <c r="L321">
        <v>0</v>
      </c>
      <c r="M321">
        <v>171510.47</v>
      </c>
      <c r="N321">
        <v>171510.47</v>
      </c>
      <c r="O321">
        <v>-285526.11</v>
      </c>
      <c r="P321">
        <v>-285526.11</v>
      </c>
      <c r="Q321">
        <v>0</v>
      </c>
      <c r="R321" t="s">
        <v>497</v>
      </c>
      <c r="S321"/>
      <c r="T321"/>
    </row>
    <row r="322" spans="1:20" customHeight="1" ht="14.5">
      <c r="A322" s="178">
        <v>140</v>
      </c>
      <c r="B322" s="178" t="s">
        <v>419</v>
      </c>
      <c r="C322" s="178">
        <v>784.15</v>
      </c>
      <c r="D322">
        <v>784.15</v>
      </c>
      <c r="E322">
        <v>12193.53</v>
      </c>
      <c r="F322">
        <v>1</v>
      </c>
      <c r="G322">
        <v>12193.53</v>
      </c>
      <c r="H322">
        <v>12193.53</v>
      </c>
      <c r="I322">
        <v>1</v>
      </c>
      <c r="J322">
        <v>12193.53</v>
      </c>
      <c r="K322">
        <v>13508</v>
      </c>
      <c r="L322">
        <v>13508</v>
      </c>
      <c r="M322">
        <v>-11409.38</v>
      </c>
      <c r="N322">
        <v>-11409.38</v>
      </c>
      <c r="O322">
        <v>-12723.85</v>
      </c>
      <c r="P322">
        <v>-12723.85</v>
      </c>
      <c r="Q322">
        <v>13498</v>
      </c>
      <c r="R322" t="s">
        <v>497</v>
      </c>
      <c r="S322"/>
      <c r="T322"/>
    </row>
    <row r="323" spans="1:20" customHeight="1" ht="14.5">
      <c r="A323" s="178">
        <v>150</v>
      </c>
      <c r="B323" s="178" t="s">
        <v>420</v>
      </c>
      <c r="C323" s="178">
        <v>56.16</v>
      </c>
      <c r="D323">
        <v>56.16</v>
      </c>
      <c r="E323">
        <v>26.9</v>
      </c>
      <c r="F323">
        <v>1</v>
      </c>
      <c r="G323">
        <v>26.9</v>
      </c>
      <c r="H323">
        <v>26.9</v>
      </c>
      <c r="I323">
        <v>1</v>
      </c>
      <c r="J323">
        <v>26.9</v>
      </c>
      <c r="K323">
        <v>0</v>
      </c>
      <c r="L323">
        <v>0</v>
      </c>
      <c r="M323">
        <v>29.26</v>
      </c>
      <c r="N323">
        <v>29.26</v>
      </c>
      <c r="O323">
        <v>56.16</v>
      </c>
      <c r="P323">
        <v>56.16</v>
      </c>
      <c r="Q323">
        <v>22474</v>
      </c>
      <c r="R323" t="s">
        <v>497</v>
      </c>
      <c r="S323"/>
      <c r="T323"/>
    </row>
    <row r="324" spans="1:20" customHeight="1" ht="14.5">
      <c r="A324" s="178">
        <v>155</v>
      </c>
      <c r="B324" s="178" t="s">
        <v>421</v>
      </c>
      <c r="C324" s="178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497</v>
      </c>
      <c r="S324"/>
      <c r="T324"/>
    </row>
    <row r="325" spans="1:20" customHeight="1" ht="14.5">
      <c r="A325" s="178">
        <v>160</v>
      </c>
      <c r="B325" s="178" t="s">
        <v>422</v>
      </c>
      <c r="C325" s="178">
        <v>-278668.12</v>
      </c>
      <c r="D325">
        <v>-278668.12</v>
      </c>
      <c r="E325">
        <v>-444869.95</v>
      </c>
      <c r="F325">
        <v>1</v>
      </c>
      <c r="G325">
        <v>-444869.95</v>
      </c>
      <c r="H325">
        <v>-444869.95</v>
      </c>
      <c r="I325">
        <v>1</v>
      </c>
      <c r="J325">
        <v>-444869.95</v>
      </c>
      <c r="K325">
        <v>13508</v>
      </c>
      <c r="L325">
        <v>13508</v>
      </c>
      <c r="M325">
        <v>166201.83</v>
      </c>
      <c r="N325">
        <v>166201.83</v>
      </c>
      <c r="O325">
        <v>-292176.12</v>
      </c>
      <c r="P325">
        <v>-292176.12</v>
      </c>
      <c r="Q325">
        <v>-8976</v>
      </c>
      <c r="R325" t="s">
        <v>497</v>
      </c>
      <c r="S325"/>
      <c r="T325"/>
    </row>
    <row r="326" spans="1:20" customHeight="1" ht="14.5">
      <c r="A326" s="178">
        <v>170</v>
      </c>
      <c r="B326" s="178" t="s">
        <v>423</v>
      </c>
      <c r="C326" s="178">
        <v>3085070.45</v>
      </c>
      <c r="D326">
        <v>3085070.45</v>
      </c>
      <c r="E326">
        <v>2720597.14</v>
      </c>
      <c r="F326">
        <v>1</v>
      </c>
      <c r="G326">
        <v>2720597.14</v>
      </c>
      <c r="H326">
        <v>2720597.14</v>
      </c>
      <c r="I326">
        <v>1</v>
      </c>
      <c r="J326">
        <v>2720597.14</v>
      </c>
      <c r="K326">
        <v>3511640</v>
      </c>
      <c r="L326">
        <v>3511640</v>
      </c>
      <c r="M326">
        <v>364473.31</v>
      </c>
      <c r="N326">
        <v>364473.31</v>
      </c>
      <c r="O326">
        <v>-426569.55</v>
      </c>
      <c r="P326">
        <v>-426569.55</v>
      </c>
      <c r="Q326">
        <v>3198225</v>
      </c>
      <c r="R326" t="s">
        <v>497</v>
      </c>
      <c r="S326"/>
      <c r="T326"/>
    </row>
    <row r="327" spans="1:20">
      <c r="A327" s="178">
        <v>180</v>
      </c>
      <c r="B327" s="178" t="s">
        <v>424</v>
      </c>
      <c r="C327" s="178">
        <v>546013.16</v>
      </c>
      <c r="D327">
        <v>546013.16</v>
      </c>
      <c r="E327">
        <v>679510.88</v>
      </c>
      <c r="F327">
        <v>1</v>
      </c>
      <c r="G327">
        <v>679510.88</v>
      </c>
      <c r="H327">
        <v>679510.88</v>
      </c>
      <c r="I327">
        <v>1</v>
      </c>
      <c r="J327">
        <v>679510.88</v>
      </c>
      <c r="K327">
        <v>852212</v>
      </c>
      <c r="L327">
        <v>852212</v>
      </c>
      <c r="M327">
        <v>-133497.72</v>
      </c>
      <c r="N327">
        <v>-133497.72</v>
      </c>
      <c r="O327">
        <v>-306198.84</v>
      </c>
      <c r="P327">
        <v>-306198.84</v>
      </c>
      <c r="Q327">
        <v>810708</v>
      </c>
      <c r="R327" t="s">
        <v>497</v>
      </c>
      <c r="S327"/>
      <c r="T327"/>
    </row>
    <row r="328" spans="1:20">
      <c r="A328" s="178">
        <v>190</v>
      </c>
      <c r="B328" s="178" t="s">
        <v>425</v>
      </c>
      <c r="C328" s="17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497</v>
      </c>
      <c r="S328"/>
      <c r="T328"/>
    </row>
    <row r="329" spans="1:20" customHeight="1" ht="14.5">
      <c r="A329" s="178">
        <v>200</v>
      </c>
      <c r="B329" s="178" t="s">
        <v>426</v>
      </c>
      <c r="C329" s="178">
        <v>2539057.29</v>
      </c>
      <c r="D329">
        <v>2539057.29</v>
      </c>
      <c r="E329">
        <v>2041086.26</v>
      </c>
      <c r="F329">
        <v>1</v>
      </c>
      <c r="G329">
        <v>2041086.26</v>
      </c>
      <c r="H329">
        <v>2041086.26</v>
      </c>
      <c r="I329">
        <v>1</v>
      </c>
      <c r="J329">
        <v>2041086.26</v>
      </c>
      <c r="K329">
        <v>2659428</v>
      </c>
      <c r="L329">
        <v>2659428</v>
      </c>
      <c r="M329">
        <v>497971.03</v>
      </c>
      <c r="N329">
        <v>497971.03</v>
      </c>
      <c r="O329">
        <v>-120370.71</v>
      </c>
      <c r="P329">
        <v>-120370.71</v>
      </c>
      <c r="Q329">
        <v>2387517</v>
      </c>
      <c r="R329" t="s">
        <v>497</v>
      </c>
      <c r="S329"/>
      <c r="T329"/>
    </row>
    <row r="330" spans="1:20" customHeight="1" ht="14.5">
      <c r="A330" s="178">
        <v>210</v>
      </c>
      <c r="B330" s="178" t="s">
        <v>427</v>
      </c>
      <c r="C330" s="178">
        <v>3438274.18</v>
      </c>
      <c r="D330">
        <v>3438274.18</v>
      </c>
      <c r="E330">
        <v>2944705.43</v>
      </c>
      <c r="F330">
        <v>1</v>
      </c>
      <c r="G330">
        <v>2944705.43</v>
      </c>
      <c r="H330">
        <v>2944705.43</v>
      </c>
      <c r="I330">
        <v>1</v>
      </c>
      <c r="J330">
        <v>2944705.43</v>
      </c>
      <c r="K330">
        <v>4191051</v>
      </c>
      <c r="L330">
        <v>4191051</v>
      </c>
      <c r="M330">
        <v>493568.75</v>
      </c>
      <c r="N330">
        <v>493568.75</v>
      </c>
      <c r="O330">
        <v>-752776.82</v>
      </c>
      <c r="P330">
        <v>-752776.82</v>
      </c>
      <c r="Q330">
        <v>3855152</v>
      </c>
      <c r="R330" t="s">
        <v>497</v>
      </c>
      <c r="S330"/>
      <c r="T330"/>
    </row>
    <row r="331" spans="1:20" s="180" customFormat="1">
      <c r="A331" s="180" t="s">
        <v>448</v>
      </c>
      <c r="B331" s="180" t="s">
        <v>402</v>
      </c>
      <c r="C331" s="180" t="s">
        <v>489</v>
      </c>
      <c r="D331" s="180" t="s">
        <v>490</v>
      </c>
      <c r="E331" s="180" t="s">
        <v>433</v>
      </c>
      <c r="F331" s="180" t="s">
        <v>535</v>
      </c>
      <c r="G331" s="180" t="s">
        <v>449</v>
      </c>
      <c r="H331" s="180" t="s">
        <v>536</v>
      </c>
      <c r="I331" s="180" t="s">
        <v>526</v>
      </c>
      <c r="J331" s="180" t="s">
        <v>405</v>
      </c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</row>
    <row r="332" spans="1:20" customHeight="1" ht="14.5">
      <c r="A332" s="178">
        <v>30</v>
      </c>
      <c r="B332" s="178" t="s">
        <v>406</v>
      </c>
      <c r="C332" s="178">
        <v>18709977.35</v>
      </c>
      <c r="D332">
        <v>18709977.35</v>
      </c>
      <c r="E332">
        <v>17477747.31</v>
      </c>
      <c r="F332">
        <v>17477747.31</v>
      </c>
      <c r="G332">
        <v>9576848</v>
      </c>
      <c r="H332">
        <v>9576848</v>
      </c>
      <c r="I332">
        <v>9200281</v>
      </c>
      <c r="J332" t="s">
        <v>497</v>
      </c>
      <c r="K332"/>
      <c r="L332"/>
      <c r="M332"/>
      <c r="N332"/>
      <c r="O332"/>
      <c r="P332"/>
      <c r="Q332"/>
      <c r="R332"/>
      <c r="S332"/>
      <c r="T332"/>
    </row>
    <row r="333" spans="1:20" customHeight="1" ht="14.5">
      <c r="A333" s="178">
        <v>40</v>
      </c>
      <c r="B333" s="178" t="s">
        <v>408</v>
      </c>
      <c r="C333" s="178">
        <v>448399.85</v>
      </c>
      <c r="D333">
        <v>448399.85</v>
      </c>
      <c r="E333">
        <v>387026.76</v>
      </c>
      <c r="F333">
        <v>387026.76</v>
      </c>
      <c r="G333">
        <v>0</v>
      </c>
      <c r="H333">
        <v>0</v>
      </c>
      <c r="I333">
        <v>0</v>
      </c>
      <c r="J333" t="s">
        <v>497</v>
      </c>
      <c r="K333"/>
      <c r="L333"/>
      <c r="M333"/>
      <c r="N333"/>
      <c r="O333"/>
      <c r="P333"/>
      <c r="Q333"/>
      <c r="R333"/>
      <c r="S333"/>
      <c r="T333"/>
    </row>
    <row r="334" spans="1:20">
      <c r="A334" s="178">
        <v>50</v>
      </c>
      <c r="B334" s="178" t="s">
        <v>409</v>
      </c>
      <c r="C334" s="178">
        <v>18261577.5</v>
      </c>
      <c r="D334">
        <v>18261577.5</v>
      </c>
      <c r="E334">
        <v>17090720.55</v>
      </c>
      <c r="F334">
        <v>17090720.55</v>
      </c>
      <c r="G334">
        <v>9576848</v>
      </c>
      <c r="H334">
        <v>9576848</v>
      </c>
      <c r="I334">
        <v>9200281</v>
      </c>
      <c r="J334" t="s">
        <v>497</v>
      </c>
      <c r="K334"/>
      <c r="L334"/>
      <c r="M334"/>
      <c r="N334"/>
      <c r="O334"/>
      <c r="P334"/>
      <c r="Q334"/>
      <c r="R334"/>
      <c r="S334"/>
      <c r="T334"/>
    </row>
    <row r="335" spans="1:20">
      <c r="A335" s="178">
        <v>60</v>
      </c>
      <c r="B335" s="178" t="s">
        <v>410</v>
      </c>
      <c r="C335" s="178">
        <v>10487621</v>
      </c>
      <c r="D335">
        <v>10487621</v>
      </c>
      <c r="E335">
        <v>8824817</v>
      </c>
      <c r="F335">
        <v>8824817</v>
      </c>
      <c r="G335">
        <v>4798451</v>
      </c>
      <c r="H335">
        <v>4798451</v>
      </c>
      <c r="I335">
        <v>4609571</v>
      </c>
      <c r="J335" t="s">
        <v>497</v>
      </c>
      <c r="K335"/>
      <c r="L335"/>
      <c r="M335"/>
      <c r="N335"/>
      <c r="O335"/>
      <c r="P335"/>
      <c r="Q335"/>
      <c r="R335"/>
      <c r="S335"/>
      <c r="T335"/>
    </row>
    <row r="336" spans="1:20">
      <c r="A336" s="178">
        <v>70</v>
      </c>
      <c r="B336" s="178" t="s">
        <v>411</v>
      </c>
      <c r="C336" s="178">
        <v>7773956.5</v>
      </c>
      <c r="D336">
        <v>7773956.5</v>
      </c>
      <c r="E336">
        <v>8265903.55</v>
      </c>
      <c r="F336">
        <v>8265903.55</v>
      </c>
      <c r="G336">
        <v>4778397</v>
      </c>
      <c r="H336">
        <v>4778397</v>
      </c>
      <c r="I336">
        <v>4590710</v>
      </c>
      <c r="J336" t="s">
        <v>497</v>
      </c>
      <c r="K336"/>
      <c r="L336"/>
      <c r="M336"/>
      <c r="N336"/>
      <c r="O336"/>
      <c r="P336"/>
      <c r="Q336"/>
      <c r="R336"/>
      <c r="S336"/>
      <c r="T336"/>
    </row>
    <row r="337" spans="1:20" customHeight="1" ht="14.5">
      <c r="A337" s="178">
        <v>80</v>
      </c>
      <c r="B337" s="178" t="s">
        <v>412</v>
      </c>
      <c r="C337" s="178">
        <v>3721745.33</v>
      </c>
      <c r="D337">
        <v>3721745.33</v>
      </c>
      <c r="E337">
        <v>3722852.6</v>
      </c>
      <c r="F337">
        <v>3722852.6</v>
      </c>
      <c r="G337">
        <v>1925504</v>
      </c>
      <c r="H337">
        <v>1925504</v>
      </c>
      <c r="I337">
        <v>1789790</v>
      </c>
      <c r="J337" t="s">
        <v>497</v>
      </c>
      <c r="K337"/>
      <c r="L337"/>
      <c r="M337"/>
      <c r="N337"/>
      <c r="O337"/>
      <c r="P337"/>
      <c r="Q337"/>
      <c r="R337"/>
      <c r="S337"/>
      <c r="T337"/>
    </row>
    <row r="338" spans="1:20" customHeight="1" ht="14.5">
      <c r="A338" s="178">
        <v>90</v>
      </c>
      <c r="B338" s="178" t="s">
        <v>413</v>
      </c>
      <c r="C338" s="178">
        <v>499306.31</v>
      </c>
      <c r="D338">
        <v>499306.31</v>
      </c>
      <c r="E338">
        <v>1203341.77</v>
      </c>
      <c r="F338">
        <v>1203341.77</v>
      </c>
      <c r="G338">
        <v>629145</v>
      </c>
      <c r="H338">
        <v>629145</v>
      </c>
      <c r="I338">
        <v>184570</v>
      </c>
      <c r="J338" t="s">
        <v>497</v>
      </c>
      <c r="K338"/>
      <c r="L338"/>
      <c r="M338"/>
      <c r="N338"/>
      <c r="O338"/>
      <c r="P338"/>
      <c r="Q338"/>
      <c r="R338"/>
      <c r="S338"/>
      <c r="T338"/>
    </row>
    <row r="339" spans="1:20" customHeight="1" ht="14.5">
      <c r="A339" s="178">
        <v>100</v>
      </c>
      <c r="B339" s="178" t="s">
        <v>414</v>
      </c>
      <c r="C339" s="178">
        <v>355089</v>
      </c>
      <c r="D339">
        <v>355089</v>
      </c>
      <c r="E339">
        <v>355089</v>
      </c>
      <c r="F339">
        <v>355089</v>
      </c>
      <c r="G339">
        <v>182209</v>
      </c>
      <c r="H339">
        <v>182209</v>
      </c>
      <c r="I339">
        <v>182209</v>
      </c>
      <c r="J339" t="s">
        <v>497</v>
      </c>
      <c r="K339"/>
      <c r="L339"/>
      <c r="M339"/>
      <c r="N339"/>
      <c r="O339"/>
      <c r="P339"/>
      <c r="Q339"/>
      <c r="R339"/>
      <c r="S339"/>
      <c r="T339"/>
    </row>
    <row r="340" spans="1:20" customHeight="1" ht="14.5">
      <c r="A340" s="178">
        <v>110</v>
      </c>
      <c r="B340" s="178" t="s">
        <v>415</v>
      </c>
      <c r="C340" s="178">
        <v>4576140.64</v>
      </c>
      <c r="D340">
        <v>4576140.64</v>
      </c>
      <c r="E340">
        <v>5281283.37</v>
      </c>
      <c r="F340">
        <v>5281283.37</v>
      </c>
      <c r="G340">
        <v>2736858</v>
      </c>
      <c r="H340">
        <v>2736858</v>
      </c>
      <c r="I340">
        <v>2156569</v>
      </c>
      <c r="J340" t="s">
        <v>497</v>
      </c>
      <c r="K340"/>
      <c r="L340"/>
      <c r="M340"/>
      <c r="N340"/>
      <c r="O340"/>
      <c r="P340"/>
      <c r="Q340"/>
      <c r="R340"/>
      <c r="S340"/>
      <c r="T340"/>
    </row>
    <row r="341" spans="1:20" customHeight="1" ht="14.5">
      <c r="A341" s="178">
        <v>120</v>
      </c>
      <c r="B341" s="178" t="s">
        <v>416</v>
      </c>
      <c r="C341" s="178">
        <v>3197815.86</v>
      </c>
      <c r="D341">
        <v>3197815.86</v>
      </c>
      <c r="E341">
        <v>2984620.18</v>
      </c>
      <c r="F341">
        <v>2984620.18</v>
      </c>
      <c r="G341">
        <v>2041539</v>
      </c>
      <c r="H341">
        <v>2041539</v>
      </c>
      <c r="I341">
        <v>2434141</v>
      </c>
      <c r="J341" t="s">
        <v>497</v>
      </c>
      <c r="K341"/>
      <c r="L341"/>
      <c r="M341"/>
      <c r="N341"/>
      <c r="O341"/>
      <c r="P341"/>
      <c r="Q341"/>
      <c r="R341"/>
      <c r="S341"/>
      <c r="T341"/>
    </row>
    <row r="342" spans="1:20" customHeight="1" ht="14.5">
      <c r="A342" s="178">
        <v>130</v>
      </c>
      <c r="B342" s="178" t="s">
        <v>417</v>
      </c>
      <c r="C342" s="178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497</v>
      </c>
      <c r="K342"/>
      <c r="L342"/>
      <c r="M342"/>
      <c r="N342"/>
      <c r="O342"/>
      <c r="P342"/>
      <c r="Q342"/>
      <c r="R342"/>
      <c r="S342"/>
      <c r="T342"/>
    </row>
    <row r="343" spans="1:20" customHeight="1" ht="14.5">
      <c r="A343" s="178">
        <v>135</v>
      </c>
      <c r="B343" s="178" t="s">
        <v>418</v>
      </c>
      <c r="C343" s="178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497</v>
      </c>
      <c r="K343"/>
      <c r="L343"/>
      <c r="M343"/>
      <c r="N343"/>
      <c r="O343"/>
      <c r="P343"/>
      <c r="Q343"/>
      <c r="R343"/>
      <c r="S343"/>
      <c r="T343"/>
    </row>
    <row r="344" spans="1:20" customHeight="1" ht="14.5">
      <c r="A344" s="178">
        <v>140</v>
      </c>
      <c r="B344" s="178" t="s">
        <v>419</v>
      </c>
      <c r="C344" s="178">
        <v>30735.5</v>
      </c>
      <c r="D344">
        <v>30735.5</v>
      </c>
      <c r="E344">
        <v>31873.05</v>
      </c>
      <c r="F344">
        <v>31873.05</v>
      </c>
      <c r="G344">
        <v>17333</v>
      </c>
      <c r="H344">
        <v>17333</v>
      </c>
      <c r="I344">
        <v>26099</v>
      </c>
      <c r="J344" t="s">
        <v>497</v>
      </c>
      <c r="K344"/>
      <c r="L344"/>
      <c r="M344"/>
      <c r="N344"/>
      <c r="O344"/>
      <c r="P344"/>
      <c r="Q344"/>
      <c r="R344"/>
      <c r="S344"/>
      <c r="T344"/>
    </row>
    <row r="345" spans="1:20" customHeight="1" ht="14.5">
      <c r="A345" s="178">
        <v>150</v>
      </c>
      <c r="B345" s="178" t="s">
        <v>420</v>
      </c>
      <c r="C345" s="178">
        <v>130010.97</v>
      </c>
      <c r="D345">
        <v>130010.97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497</v>
      </c>
      <c r="K345"/>
      <c r="L345"/>
      <c r="M345"/>
      <c r="N345"/>
      <c r="O345"/>
      <c r="P345"/>
      <c r="Q345"/>
      <c r="R345"/>
      <c r="S345"/>
      <c r="T345"/>
    </row>
    <row r="346" spans="1:20" customHeight="1" ht="14.5">
      <c r="A346" s="178">
        <v>155</v>
      </c>
      <c r="B346" s="178" t="s">
        <v>421</v>
      </c>
      <c r="C346" s="178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497</v>
      </c>
      <c r="K346"/>
      <c r="L346"/>
      <c r="M346"/>
      <c r="N346"/>
      <c r="O346"/>
      <c r="P346"/>
      <c r="Q346"/>
      <c r="R346"/>
      <c r="S346"/>
      <c r="T346"/>
    </row>
    <row r="347" spans="1:20" customHeight="1" ht="14.5">
      <c r="A347" s="178">
        <v>160</v>
      </c>
      <c r="B347" s="178" t="s">
        <v>422</v>
      </c>
      <c r="C347" s="178">
        <v>-99275.47</v>
      </c>
      <c r="D347">
        <v>-99275.47</v>
      </c>
      <c r="E347">
        <v>31873.05</v>
      </c>
      <c r="F347">
        <v>31873.05</v>
      </c>
      <c r="G347">
        <v>17333</v>
      </c>
      <c r="H347">
        <v>17333</v>
      </c>
      <c r="I347">
        <v>26099</v>
      </c>
      <c r="J347" t="s">
        <v>497</v>
      </c>
      <c r="K347"/>
      <c r="L347"/>
      <c r="M347"/>
      <c r="N347"/>
      <c r="O347"/>
      <c r="P347"/>
      <c r="Q347"/>
      <c r="R347"/>
      <c r="S347"/>
      <c r="T347"/>
    </row>
    <row r="348" spans="1:20" customHeight="1" ht="14.5">
      <c r="A348" s="178">
        <v>170</v>
      </c>
      <c r="B348" s="178" t="s">
        <v>423</v>
      </c>
      <c r="C348" s="178">
        <v>3297091.33</v>
      </c>
      <c r="D348">
        <v>3297091.33</v>
      </c>
      <c r="E348">
        <v>2952747.13</v>
      </c>
      <c r="F348">
        <v>2952747.13</v>
      </c>
      <c r="G348">
        <v>2024206</v>
      </c>
      <c r="H348">
        <v>2024206</v>
      </c>
      <c r="I348">
        <v>2408042</v>
      </c>
      <c r="J348" t="s">
        <v>497</v>
      </c>
      <c r="K348"/>
      <c r="L348"/>
      <c r="M348"/>
      <c r="N348"/>
      <c r="O348"/>
      <c r="P348"/>
      <c r="Q348"/>
      <c r="R348"/>
      <c r="S348"/>
      <c r="T348"/>
    </row>
    <row r="349" spans="1:20">
      <c r="A349" s="178">
        <v>180</v>
      </c>
      <c r="B349" s="178" t="s">
        <v>424</v>
      </c>
      <c r="C349" s="178">
        <v>910537</v>
      </c>
      <c r="D349">
        <v>910537</v>
      </c>
      <c r="E349">
        <v>343599</v>
      </c>
      <c r="F349">
        <v>343599</v>
      </c>
      <c r="G349">
        <v>276357</v>
      </c>
      <c r="H349">
        <v>276357</v>
      </c>
      <c r="I349">
        <v>265491</v>
      </c>
      <c r="J349" t="s">
        <v>497</v>
      </c>
      <c r="K349"/>
      <c r="L349"/>
      <c r="M349"/>
      <c r="N349"/>
      <c r="O349"/>
      <c r="P349"/>
      <c r="Q349"/>
      <c r="R349"/>
      <c r="S349"/>
      <c r="T349"/>
    </row>
    <row r="350" spans="1:20">
      <c r="A350" s="178">
        <v>190</v>
      </c>
      <c r="B350" s="178" t="s">
        <v>425</v>
      </c>
      <c r="C350" s="178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497</v>
      </c>
      <c r="K350"/>
      <c r="L350"/>
      <c r="M350"/>
      <c r="N350"/>
      <c r="O350"/>
      <c r="P350"/>
      <c r="Q350"/>
      <c r="R350"/>
      <c r="S350"/>
      <c r="T350"/>
    </row>
    <row r="351" spans="1:20" customHeight="1" ht="14.5">
      <c r="A351" s="178">
        <v>200</v>
      </c>
      <c r="B351" s="178" t="s">
        <v>426</v>
      </c>
      <c r="C351" s="178">
        <v>2386554.33</v>
      </c>
      <c r="D351">
        <v>2386554.33</v>
      </c>
      <c r="E351">
        <v>2609148.13</v>
      </c>
      <c r="F351">
        <v>2609148.13</v>
      </c>
      <c r="G351">
        <v>1747849</v>
      </c>
      <c r="H351">
        <v>1747849</v>
      </c>
      <c r="I351">
        <v>2142551</v>
      </c>
      <c r="J351" t="s">
        <v>497</v>
      </c>
      <c r="K351"/>
      <c r="L351"/>
      <c r="M351"/>
      <c r="N351"/>
      <c r="O351"/>
      <c r="P351"/>
      <c r="Q351"/>
      <c r="R351"/>
      <c r="S351"/>
      <c r="T351"/>
    </row>
    <row r="352" spans="1:20" customHeight="1" ht="14.5">
      <c r="A352" s="178">
        <v>210</v>
      </c>
      <c r="B352" s="178" t="s">
        <v>427</v>
      </c>
      <c r="C352" s="178">
        <v>3552904.86</v>
      </c>
      <c r="D352">
        <v>3552904.86</v>
      </c>
      <c r="E352">
        <v>3339709.18</v>
      </c>
      <c r="F352">
        <v>3339709.18</v>
      </c>
      <c r="G352">
        <v>2223748</v>
      </c>
      <c r="H352">
        <v>2223748</v>
      </c>
      <c r="I352">
        <v>2616350</v>
      </c>
      <c r="J352" t="s">
        <v>497</v>
      </c>
      <c r="K352"/>
      <c r="L352"/>
      <c r="M352"/>
      <c r="N352"/>
      <c r="O352"/>
      <c r="P352"/>
      <c r="Q352"/>
      <c r="R352"/>
      <c r="S352"/>
      <c r="T352"/>
    </row>
    <row r="353" spans="1:20" s="180" customFormat="1">
      <c r="A353" s="180" t="s">
        <v>450</v>
      </c>
      <c r="B353" s="180" t="s">
        <v>402</v>
      </c>
      <c r="C353" s="180" t="s">
        <v>509</v>
      </c>
      <c r="D353" s="180" t="s">
        <v>510</v>
      </c>
      <c r="E353" s="180" t="s">
        <v>403</v>
      </c>
      <c r="F353" s="180" t="s">
        <v>511</v>
      </c>
      <c r="G353" s="180" t="s">
        <v>512</v>
      </c>
      <c r="H353" s="180" t="s">
        <v>513</v>
      </c>
      <c r="I353" s="180" t="s">
        <v>514</v>
      </c>
      <c r="J353" s="180" t="s">
        <v>515</v>
      </c>
      <c r="K353" s="180" t="s">
        <v>437</v>
      </c>
      <c r="L353" s="180" t="s">
        <v>516</v>
      </c>
      <c r="M353" s="180" t="s">
        <v>530</v>
      </c>
      <c r="N353" s="180" t="s">
        <v>532</v>
      </c>
      <c r="O353" s="180" t="s">
        <v>533</v>
      </c>
      <c r="P353" s="180" t="s">
        <v>534</v>
      </c>
      <c r="Q353" s="180" t="s">
        <v>526</v>
      </c>
      <c r="R353" s="180" t="s">
        <v>405</v>
      </c>
      <c r="S353" s="180"/>
      <c r="T353" s="180"/>
    </row>
    <row r="354" spans="1:20" customHeight="1" ht="14.5">
      <c r="A354" s="178">
        <v>30</v>
      </c>
      <c r="B354" s="178" t="s">
        <v>406</v>
      </c>
      <c r="C354" s="178">
        <v>7055532.17</v>
      </c>
      <c r="D354">
        <v>7055532.17</v>
      </c>
      <c r="E354">
        <v>4607669.7</v>
      </c>
      <c r="F354">
        <v>1</v>
      </c>
      <c r="G354">
        <v>4607669.7</v>
      </c>
      <c r="H354">
        <v>4607669.7</v>
      </c>
      <c r="I354">
        <v>1</v>
      </c>
      <c r="J354">
        <v>4607669.7</v>
      </c>
      <c r="K354">
        <v>11615470</v>
      </c>
      <c r="L354">
        <v>11615470</v>
      </c>
      <c r="M354">
        <v>2447862.47</v>
      </c>
      <c r="N354">
        <v>2447862.47</v>
      </c>
      <c r="O354">
        <v>-4559937.83</v>
      </c>
      <c r="P354">
        <v>-4559937.83</v>
      </c>
      <c r="Q354">
        <v>11219846</v>
      </c>
      <c r="R354" t="s">
        <v>497</v>
      </c>
      <c r="S354"/>
      <c r="T354"/>
    </row>
    <row r="355" spans="1:20" customHeight="1" ht="14.5">
      <c r="A355" s="178">
        <v>40</v>
      </c>
      <c r="B355" s="178" t="s">
        <v>408</v>
      </c>
      <c r="C355" s="178">
        <v>-162520.11</v>
      </c>
      <c r="D355">
        <v>-162520.11</v>
      </c>
      <c r="E355">
        <v>-122463.06</v>
      </c>
      <c r="F355">
        <v>1</v>
      </c>
      <c r="G355">
        <v>-122463.06</v>
      </c>
      <c r="H355">
        <v>-122463.06</v>
      </c>
      <c r="I355">
        <v>1</v>
      </c>
      <c r="J355">
        <v>-122463.06</v>
      </c>
      <c r="K355">
        <v>0</v>
      </c>
      <c r="L355">
        <v>0</v>
      </c>
      <c r="M355">
        <v>-40057.05</v>
      </c>
      <c r="N355">
        <v>-40057.05</v>
      </c>
      <c r="O355">
        <v>-162520.11</v>
      </c>
      <c r="P355">
        <v>-162520.11</v>
      </c>
      <c r="Q355">
        <v>0</v>
      </c>
      <c r="R355" t="s">
        <v>497</v>
      </c>
      <c r="S355"/>
      <c r="T355"/>
    </row>
    <row r="356" spans="1:20">
      <c r="A356" s="178">
        <v>50</v>
      </c>
      <c r="B356" s="178" t="s">
        <v>409</v>
      </c>
      <c r="C356" s="178">
        <v>6893012.06</v>
      </c>
      <c r="D356">
        <v>6893012.06</v>
      </c>
      <c r="E356">
        <v>4485206.64</v>
      </c>
      <c r="F356">
        <v>1</v>
      </c>
      <c r="G356">
        <v>4485206.64</v>
      </c>
      <c r="H356">
        <v>4485206.64</v>
      </c>
      <c r="I356">
        <v>1</v>
      </c>
      <c r="J356">
        <v>4485206.64</v>
      </c>
      <c r="K356">
        <v>11615470</v>
      </c>
      <c r="L356">
        <v>11615470</v>
      </c>
      <c r="M356">
        <v>2407805.42</v>
      </c>
      <c r="N356">
        <v>2407805.42</v>
      </c>
      <c r="O356">
        <v>-4722457.94</v>
      </c>
      <c r="P356">
        <v>-4722457.94</v>
      </c>
      <c r="Q356">
        <v>11219846</v>
      </c>
      <c r="R356" t="s">
        <v>497</v>
      </c>
      <c r="S356"/>
      <c r="T356"/>
    </row>
    <row r="357" spans="1:20">
      <c r="A357" s="178">
        <v>60</v>
      </c>
      <c r="B357" s="178" t="s">
        <v>410</v>
      </c>
      <c r="C357" s="178">
        <v>4203549.71</v>
      </c>
      <c r="D357">
        <v>4203549.71</v>
      </c>
      <c r="E357">
        <v>2312438.3</v>
      </c>
      <c r="F357">
        <v>1</v>
      </c>
      <c r="G357">
        <v>2312438.3</v>
      </c>
      <c r="H357">
        <v>2312438.3</v>
      </c>
      <c r="I357">
        <v>1</v>
      </c>
      <c r="J357">
        <v>2312438.3</v>
      </c>
      <c r="K357">
        <v>6277611</v>
      </c>
      <c r="L357">
        <v>6277611</v>
      </c>
      <c r="M357">
        <v>1891111.41</v>
      </c>
      <c r="N357">
        <v>1891111.41</v>
      </c>
      <c r="O357">
        <v>-2074061.29</v>
      </c>
      <c r="P357">
        <v>-2074061.29</v>
      </c>
      <c r="Q357">
        <v>6063795</v>
      </c>
      <c r="R357" t="s">
        <v>497</v>
      </c>
      <c r="S357"/>
      <c r="T357"/>
    </row>
    <row r="358" spans="1:20">
      <c r="A358" s="178">
        <v>70</v>
      </c>
      <c r="B358" s="178" t="s">
        <v>411</v>
      </c>
      <c r="C358" s="178">
        <v>2689462.35</v>
      </c>
      <c r="D358">
        <v>2689462.35</v>
      </c>
      <c r="E358">
        <v>2172768.34</v>
      </c>
      <c r="F358">
        <v>1</v>
      </c>
      <c r="G358">
        <v>2172768.34</v>
      </c>
      <c r="H358">
        <v>2172768.34</v>
      </c>
      <c r="I358">
        <v>1</v>
      </c>
      <c r="J358">
        <v>2172768.34</v>
      </c>
      <c r="K358">
        <v>5337859</v>
      </c>
      <c r="L358">
        <v>5337859</v>
      </c>
      <c r="M358">
        <v>516694.01</v>
      </c>
      <c r="N358">
        <v>516694.01</v>
      </c>
      <c r="O358">
        <v>-2648396.65</v>
      </c>
      <c r="P358">
        <v>-2648396.65</v>
      </c>
      <c r="Q358">
        <v>5156051</v>
      </c>
      <c r="R358" t="s">
        <v>497</v>
      </c>
      <c r="S358"/>
      <c r="T358"/>
    </row>
    <row r="359" spans="1:20" customHeight="1" ht="14.5">
      <c r="A359" s="178">
        <v>80</v>
      </c>
      <c r="B359" s="178" t="s">
        <v>412</v>
      </c>
      <c r="C359" s="178">
        <v>3799539.77</v>
      </c>
      <c r="D359">
        <v>3799539.77</v>
      </c>
      <c r="E359">
        <v>4492526</v>
      </c>
      <c r="F359">
        <v>1</v>
      </c>
      <c r="G359">
        <v>4492526</v>
      </c>
      <c r="H359">
        <v>4492526</v>
      </c>
      <c r="I359">
        <v>1</v>
      </c>
      <c r="J359">
        <v>4492526</v>
      </c>
      <c r="K359">
        <v>2729652</v>
      </c>
      <c r="L359">
        <v>2729652</v>
      </c>
      <c r="M359">
        <v>-692986.23</v>
      </c>
      <c r="N359">
        <v>-692986.23</v>
      </c>
      <c r="O359">
        <v>1069887.77</v>
      </c>
      <c r="P359">
        <v>1069887.77</v>
      </c>
      <c r="Q359">
        <v>2849566</v>
      </c>
      <c r="R359" t="s">
        <v>497</v>
      </c>
      <c r="S359"/>
      <c r="T359"/>
    </row>
    <row r="360" spans="1:20" customHeight="1" ht="14.5">
      <c r="A360" s="178">
        <v>90</v>
      </c>
      <c r="B360" s="178" t="s">
        <v>413</v>
      </c>
      <c r="C360" s="178">
        <v>641284.44</v>
      </c>
      <c r="D360">
        <v>641284.44</v>
      </c>
      <c r="E360">
        <v>573247.46</v>
      </c>
      <c r="F360">
        <v>1</v>
      </c>
      <c r="G360">
        <v>573247.46</v>
      </c>
      <c r="H360">
        <v>573247.46</v>
      </c>
      <c r="I360">
        <v>1</v>
      </c>
      <c r="J360">
        <v>573247.46</v>
      </c>
      <c r="K360">
        <v>667120</v>
      </c>
      <c r="L360">
        <v>667120</v>
      </c>
      <c r="M360">
        <v>68036.98</v>
      </c>
      <c r="N360">
        <v>68036.98</v>
      </c>
      <c r="O360">
        <v>-25835.56</v>
      </c>
      <c r="P360">
        <v>-25835.56</v>
      </c>
      <c r="Q360">
        <v>671037</v>
      </c>
      <c r="R360" t="s">
        <v>497</v>
      </c>
      <c r="S360"/>
      <c r="T360"/>
    </row>
    <row r="361" spans="1:20" customHeight="1" ht="14.5">
      <c r="A361" s="178">
        <v>100</v>
      </c>
      <c r="B361" s="178" t="s">
        <v>414</v>
      </c>
      <c r="C361" s="178">
        <v>249581.19</v>
      </c>
      <c r="D361">
        <v>249581.19</v>
      </c>
      <c r="E361">
        <v>458230.59</v>
      </c>
      <c r="F361">
        <v>1</v>
      </c>
      <c r="G361">
        <v>458230.59</v>
      </c>
      <c r="H361">
        <v>458230.59</v>
      </c>
      <c r="I361">
        <v>1</v>
      </c>
      <c r="J361">
        <v>458230.59</v>
      </c>
      <c r="K361">
        <v>457162</v>
      </c>
      <c r="L361">
        <v>457162</v>
      </c>
      <c r="M361">
        <v>-208649.4</v>
      </c>
      <c r="N361">
        <v>-208649.4</v>
      </c>
      <c r="O361">
        <v>-207580.81</v>
      </c>
      <c r="P361">
        <v>-207580.81</v>
      </c>
      <c r="Q361">
        <v>457162</v>
      </c>
      <c r="R361" t="s">
        <v>497</v>
      </c>
      <c r="S361"/>
      <c r="T361"/>
    </row>
    <row r="362" spans="1:20" customHeight="1" ht="14.5">
      <c r="A362" s="178">
        <v>110</v>
      </c>
      <c r="B362" s="178" t="s">
        <v>415</v>
      </c>
      <c r="C362" s="178">
        <v>4690405.4</v>
      </c>
      <c r="D362">
        <v>4690405.4</v>
      </c>
      <c r="E362">
        <v>5524004.05</v>
      </c>
      <c r="F362">
        <v>1</v>
      </c>
      <c r="G362">
        <v>5524004.05</v>
      </c>
      <c r="H362">
        <v>5524004.05</v>
      </c>
      <c r="I362">
        <v>1</v>
      </c>
      <c r="J362">
        <v>5524004.05</v>
      </c>
      <c r="K362">
        <v>3853934</v>
      </c>
      <c r="L362">
        <v>3853934</v>
      </c>
      <c r="M362">
        <v>-833598.65</v>
      </c>
      <c r="N362">
        <v>-833598.65</v>
      </c>
      <c r="O362">
        <v>836471.4</v>
      </c>
      <c r="P362">
        <v>836471.4</v>
      </c>
      <c r="Q362">
        <v>3977765</v>
      </c>
      <c r="R362" t="s">
        <v>497</v>
      </c>
      <c r="S362"/>
      <c r="T362"/>
    </row>
    <row r="363" spans="1:20" customHeight="1" ht="14.5">
      <c r="A363" s="178">
        <v>120</v>
      </c>
      <c r="B363" s="178" t="s">
        <v>416</v>
      </c>
      <c r="C363" s="178">
        <v>-2000943.05</v>
      </c>
      <c r="D363">
        <v>-2000943.05</v>
      </c>
      <c r="E363">
        <v>-3351235.71</v>
      </c>
      <c r="F363">
        <v>1</v>
      </c>
      <c r="G363">
        <v>-3351235.71</v>
      </c>
      <c r="H363">
        <v>-3351235.71</v>
      </c>
      <c r="I363">
        <v>1</v>
      </c>
      <c r="J363">
        <v>-3351235.71</v>
      </c>
      <c r="K363">
        <v>1483925</v>
      </c>
      <c r="L363">
        <v>1483925</v>
      </c>
      <c r="M363">
        <v>1350292.66</v>
      </c>
      <c r="N363">
        <v>1350292.66</v>
      </c>
      <c r="O363">
        <v>-3484868.05</v>
      </c>
      <c r="P363">
        <v>-3484868.05</v>
      </c>
      <c r="Q363">
        <v>1178286</v>
      </c>
      <c r="R363" t="s">
        <v>497</v>
      </c>
      <c r="S363"/>
      <c r="T363"/>
    </row>
    <row r="364" spans="1:20" customHeight="1" ht="14.5">
      <c r="A364" s="178">
        <v>130</v>
      </c>
      <c r="B364" s="178" t="s">
        <v>417</v>
      </c>
      <c r="C364" s="178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497</v>
      </c>
      <c r="S364"/>
      <c r="T364"/>
    </row>
    <row r="365" spans="1:20" customHeight="1" ht="14.5">
      <c r="A365" s="178">
        <v>135</v>
      </c>
      <c r="B365" s="178" t="s">
        <v>418</v>
      </c>
      <c r="C365" s="178">
        <v>-335981.78</v>
      </c>
      <c r="D365">
        <v>-335981.78</v>
      </c>
      <c r="E365">
        <v>-35244.01</v>
      </c>
      <c r="F365">
        <v>1</v>
      </c>
      <c r="G365">
        <v>-35244.01</v>
      </c>
      <c r="H365">
        <v>-35244.01</v>
      </c>
      <c r="I365">
        <v>1</v>
      </c>
      <c r="J365">
        <v>-35244.01</v>
      </c>
      <c r="K365">
        <v>0</v>
      </c>
      <c r="L365">
        <v>0</v>
      </c>
      <c r="M365">
        <v>-300737.77</v>
      </c>
      <c r="N365">
        <v>-300737.77</v>
      </c>
      <c r="O365">
        <v>-335981.78</v>
      </c>
      <c r="P365">
        <v>-335981.78</v>
      </c>
      <c r="Q365">
        <v>0</v>
      </c>
      <c r="R365" t="s">
        <v>497</v>
      </c>
      <c r="S365"/>
      <c r="T365"/>
    </row>
    <row r="366" spans="1:20" customHeight="1" ht="14.5">
      <c r="A366" s="178">
        <v>140</v>
      </c>
      <c r="B366" s="178" t="s">
        <v>419</v>
      </c>
      <c r="C366" s="178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29650</v>
      </c>
      <c r="L366">
        <v>29650</v>
      </c>
      <c r="M366">
        <v>0</v>
      </c>
      <c r="N366">
        <v>0</v>
      </c>
      <c r="O366">
        <v>-29650</v>
      </c>
      <c r="P366">
        <v>-29650</v>
      </c>
      <c r="Q366">
        <v>33330</v>
      </c>
      <c r="R366" t="s">
        <v>497</v>
      </c>
      <c r="S366"/>
      <c r="T366"/>
    </row>
    <row r="367" spans="1:20" customHeight="1" ht="14.5">
      <c r="A367" s="178">
        <v>150</v>
      </c>
      <c r="B367" s="178" t="s">
        <v>420</v>
      </c>
      <c r="C367" s="178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5737</v>
      </c>
      <c r="R367" t="s">
        <v>497</v>
      </c>
      <c r="S367"/>
      <c r="T367"/>
    </row>
    <row r="368" spans="1:20" customHeight="1" ht="14.5">
      <c r="A368" s="178">
        <v>155</v>
      </c>
      <c r="B368" s="178" t="s">
        <v>421</v>
      </c>
      <c r="C368" s="17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497</v>
      </c>
      <c r="S368"/>
      <c r="T368"/>
    </row>
    <row r="369" spans="1:20" customHeight="1" ht="14.5">
      <c r="A369" s="178">
        <v>160</v>
      </c>
      <c r="B369" s="178" t="s">
        <v>422</v>
      </c>
      <c r="C369" s="178">
        <v>-335981.78</v>
      </c>
      <c r="D369">
        <v>-335981.78</v>
      </c>
      <c r="E369">
        <v>-35244.01</v>
      </c>
      <c r="F369">
        <v>1</v>
      </c>
      <c r="G369">
        <v>-35244.01</v>
      </c>
      <c r="H369">
        <v>-35244.01</v>
      </c>
      <c r="I369">
        <v>1</v>
      </c>
      <c r="J369">
        <v>-35244.01</v>
      </c>
      <c r="K369">
        <v>29650</v>
      </c>
      <c r="L369">
        <v>29650</v>
      </c>
      <c r="M369">
        <v>-300737.77</v>
      </c>
      <c r="N369">
        <v>-300737.77</v>
      </c>
      <c r="O369">
        <v>-365631.78</v>
      </c>
      <c r="P369">
        <v>-365631.78</v>
      </c>
      <c r="Q369">
        <v>27593</v>
      </c>
      <c r="R369" t="s">
        <v>497</v>
      </c>
      <c r="S369"/>
      <c r="T369"/>
    </row>
    <row r="370" spans="1:20" customHeight="1" ht="14.5">
      <c r="A370" s="178">
        <v>170</v>
      </c>
      <c r="B370" s="178" t="s">
        <v>423</v>
      </c>
      <c r="C370" s="178">
        <v>-1664961.27</v>
      </c>
      <c r="D370">
        <v>-1664961.27</v>
      </c>
      <c r="E370">
        <v>-3315991.7</v>
      </c>
      <c r="F370">
        <v>1</v>
      </c>
      <c r="G370">
        <v>-3315991.7</v>
      </c>
      <c r="H370">
        <v>-3315991.7</v>
      </c>
      <c r="I370">
        <v>1</v>
      </c>
      <c r="J370">
        <v>-3315991.7</v>
      </c>
      <c r="K370">
        <v>1454275</v>
      </c>
      <c r="L370">
        <v>1454275</v>
      </c>
      <c r="M370">
        <v>1651030.43</v>
      </c>
      <c r="N370">
        <v>1651030.43</v>
      </c>
      <c r="O370">
        <v>-3119236.27</v>
      </c>
      <c r="P370">
        <v>-3119236.27</v>
      </c>
      <c r="Q370">
        <v>1150693</v>
      </c>
      <c r="R370" t="s">
        <v>497</v>
      </c>
      <c r="S370"/>
      <c r="T370"/>
    </row>
    <row r="371" spans="1:20">
      <c r="A371" s="178">
        <v>180</v>
      </c>
      <c r="B371" s="178" t="s">
        <v>424</v>
      </c>
      <c r="C371" s="178">
        <v>187426</v>
      </c>
      <c r="D371">
        <v>187426</v>
      </c>
      <c r="E371">
        <v>141999</v>
      </c>
      <c r="F371">
        <v>1</v>
      </c>
      <c r="G371">
        <v>141999</v>
      </c>
      <c r="H371">
        <v>141999</v>
      </c>
      <c r="I371">
        <v>1</v>
      </c>
      <c r="J371">
        <v>141999</v>
      </c>
      <c r="K371">
        <v>335186</v>
      </c>
      <c r="L371">
        <v>335186</v>
      </c>
      <c r="M371">
        <v>45427</v>
      </c>
      <c r="N371">
        <v>45427</v>
      </c>
      <c r="O371">
        <v>-147760</v>
      </c>
      <c r="P371">
        <v>-147760</v>
      </c>
      <c r="Q371">
        <v>323769</v>
      </c>
      <c r="R371" t="s">
        <v>497</v>
      </c>
      <c r="S371"/>
      <c r="T371"/>
    </row>
    <row r="372" spans="1:20">
      <c r="A372" s="178">
        <v>190</v>
      </c>
      <c r="B372" s="178" t="s">
        <v>425</v>
      </c>
      <c r="C372" s="178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497</v>
      </c>
      <c r="S372"/>
      <c r="T372"/>
    </row>
    <row r="373" spans="1:20" customHeight="1" ht="14.5">
      <c r="A373" s="178">
        <v>200</v>
      </c>
      <c r="B373" s="178" t="s">
        <v>426</v>
      </c>
      <c r="C373" s="178">
        <v>-1852387.27</v>
      </c>
      <c r="D373">
        <v>-1852387.27</v>
      </c>
      <c r="E373">
        <v>-3457990.7</v>
      </c>
      <c r="F373">
        <v>1</v>
      </c>
      <c r="G373">
        <v>-3457990.7</v>
      </c>
      <c r="H373">
        <v>-3457990.7</v>
      </c>
      <c r="I373">
        <v>1</v>
      </c>
      <c r="J373">
        <v>-3457990.7</v>
      </c>
      <c r="K373">
        <v>1119089</v>
      </c>
      <c r="L373">
        <v>1119089</v>
      </c>
      <c r="M373">
        <v>1605603.43</v>
      </c>
      <c r="N373">
        <v>1605603.43</v>
      </c>
      <c r="O373">
        <v>-2971476.27</v>
      </c>
      <c r="P373">
        <v>-2971476.27</v>
      </c>
      <c r="Q373">
        <v>826924</v>
      </c>
      <c r="R373" t="s">
        <v>497</v>
      </c>
      <c r="S373"/>
      <c r="T373"/>
    </row>
    <row r="374" spans="1:20" customHeight="1" ht="14.5">
      <c r="A374" s="178">
        <v>210</v>
      </c>
      <c r="B374" s="178" t="s">
        <v>427</v>
      </c>
      <c r="C374" s="178">
        <v>-1751361.86</v>
      </c>
      <c r="D374">
        <v>-1751361.86</v>
      </c>
      <c r="E374">
        <v>-2893005.12</v>
      </c>
      <c r="F374">
        <v>1</v>
      </c>
      <c r="G374">
        <v>-2893005.12</v>
      </c>
      <c r="H374">
        <v>-2893005.12</v>
      </c>
      <c r="I374">
        <v>1</v>
      </c>
      <c r="J374">
        <v>-2893005.12</v>
      </c>
      <c r="K374">
        <v>1941087</v>
      </c>
      <c r="L374">
        <v>1941087</v>
      </c>
      <c r="M374">
        <v>1141643.26</v>
      </c>
      <c r="N374">
        <v>1141643.26</v>
      </c>
      <c r="O374">
        <v>-3692448.86</v>
      </c>
      <c r="P374">
        <v>-3692448.86</v>
      </c>
      <c r="Q374">
        <v>1635448</v>
      </c>
      <c r="R374" t="s">
        <v>497</v>
      </c>
      <c r="S374"/>
      <c r="T374"/>
    </row>
    <row r="375" spans="1:20" s="180" customFormat="1">
      <c r="A375" s="180" t="s">
        <v>451</v>
      </c>
      <c r="B375" s="180" t="s">
        <v>402</v>
      </c>
      <c r="C375" s="180" t="s">
        <v>509</v>
      </c>
      <c r="D375" s="180" t="s">
        <v>510</v>
      </c>
      <c r="E375" s="180" t="s">
        <v>403</v>
      </c>
      <c r="F375" s="180" t="s">
        <v>511</v>
      </c>
      <c r="G375" s="180" t="s">
        <v>512</v>
      </c>
      <c r="H375" s="180" t="s">
        <v>513</v>
      </c>
      <c r="I375" s="180" t="s">
        <v>514</v>
      </c>
      <c r="J375" s="180" t="s">
        <v>515</v>
      </c>
      <c r="K375" s="180" t="s">
        <v>437</v>
      </c>
      <c r="L375" s="180" t="s">
        <v>516</v>
      </c>
      <c r="M375" s="180" t="s">
        <v>530</v>
      </c>
      <c r="N375" s="180" t="s">
        <v>532</v>
      </c>
      <c r="O375" s="180" t="s">
        <v>533</v>
      </c>
      <c r="P375" s="180" t="s">
        <v>534</v>
      </c>
      <c r="Q375" s="180" t="s">
        <v>526</v>
      </c>
      <c r="R375" s="180" t="s">
        <v>405</v>
      </c>
      <c r="S375" s="180"/>
      <c r="T375" s="180"/>
    </row>
    <row r="376" spans="1:20" customHeight="1" ht="14.5">
      <c r="A376" s="178">
        <v>30</v>
      </c>
      <c r="B376" s="178" t="s">
        <v>406</v>
      </c>
      <c r="C376" s="178">
        <v>63863556.77</v>
      </c>
      <c r="D376">
        <v>63863556.77</v>
      </c>
      <c r="E376">
        <v>70724782.23</v>
      </c>
      <c r="F376">
        <v>1</v>
      </c>
      <c r="G376">
        <v>70724782.23</v>
      </c>
      <c r="H376">
        <v>70724782.23</v>
      </c>
      <c r="I376">
        <v>1</v>
      </c>
      <c r="J376">
        <v>70724782.23</v>
      </c>
      <c r="K376">
        <v>62718707</v>
      </c>
      <c r="L376">
        <v>62718707</v>
      </c>
      <c r="M376">
        <v>-6861225.46</v>
      </c>
      <c r="N376">
        <v>-6861225.46</v>
      </c>
      <c r="O376">
        <v>1144849.77</v>
      </c>
      <c r="P376">
        <v>1144849.77</v>
      </c>
      <c r="Q376">
        <v>61214156</v>
      </c>
      <c r="R376" t="s">
        <v>497</v>
      </c>
      <c r="S376"/>
      <c r="T376"/>
    </row>
    <row r="377" spans="1:20" customHeight="1" ht="14.5">
      <c r="A377" s="178">
        <v>40</v>
      </c>
      <c r="B377" s="178" t="s">
        <v>408</v>
      </c>
      <c r="C377" s="178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497</v>
      </c>
      <c r="S377"/>
      <c r="T377"/>
    </row>
    <row r="378" spans="1:20">
      <c r="A378" s="178">
        <v>50</v>
      </c>
      <c r="B378" s="178" t="s">
        <v>409</v>
      </c>
      <c r="C378" s="178">
        <v>63863556.77</v>
      </c>
      <c r="D378">
        <v>63863556.77</v>
      </c>
      <c r="E378">
        <v>70724782.23</v>
      </c>
      <c r="F378">
        <v>1</v>
      </c>
      <c r="G378">
        <v>70724782.23</v>
      </c>
      <c r="H378">
        <v>70724782.23</v>
      </c>
      <c r="I378">
        <v>1</v>
      </c>
      <c r="J378">
        <v>70724782.23</v>
      </c>
      <c r="K378">
        <v>62718707</v>
      </c>
      <c r="L378">
        <v>62718707</v>
      </c>
      <c r="M378">
        <v>-6861225.46</v>
      </c>
      <c r="N378">
        <v>-6861225.46</v>
      </c>
      <c r="O378">
        <v>1144849.77</v>
      </c>
      <c r="P378">
        <v>1144849.77</v>
      </c>
      <c r="Q378">
        <v>61214156</v>
      </c>
      <c r="R378" t="s">
        <v>497</v>
      </c>
      <c r="S378"/>
      <c r="T378"/>
    </row>
    <row r="379" spans="1:20">
      <c r="A379" s="178">
        <v>60</v>
      </c>
      <c r="B379" s="178" t="s">
        <v>410</v>
      </c>
      <c r="C379" s="178">
        <v>54520265.97</v>
      </c>
      <c r="D379">
        <v>54520265.97</v>
      </c>
      <c r="E379">
        <v>62379918.68</v>
      </c>
      <c r="F379">
        <v>1</v>
      </c>
      <c r="G379">
        <v>62379918.68</v>
      </c>
      <c r="H379">
        <v>62379918.68</v>
      </c>
      <c r="I379">
        <v>1</v>
      </c>
      <c r="J379">
        <v>62379918.68</v>
      </c>
      <c r="K379">
        <v>52168583</v>
      </c>
      <c r="L379">
        <v>52168583</v>
      </c>
      <c r="M379">
        <v>-7859652.71</v>
      </c>
      <c r="N379">
        <v>-7859652.71</v>
      </c>
      <c r="O379">
        <v>2351682.97</v>
      </c>
      <c r="P379">
        <v>2351682.97</v>
      </c>
      <c r="Q379">
        <v>51012955</v>
      </c>
      <c r="R379" t="s">
        <v>497</v>
      </c>
      <c r="S379"/>
      <c r="T379"/>
    </row>
    <row r="380" spans="1:20">
      <c r="A380" s="178">
        <v>70</v>
      </c>
      <c r="B380" s="178" t="s">
        <v>411</v>
      </c>
      <c r="C380" s="178">
        <v>9343290.8</v>
      </c>
      <c r="D380">
        <v>9343290.8</v>
      </c>
      <c r="E380">
        <v>8344863.55</v>
      </c>
      <c r="F380">
        <v>1</v>
      </c>
      <c r="G380">
        <v>8344863.55</v>
      </c>
      <c r="H380">
        <v>8344863.55</v>
      </c>
      <c r="I380">
        <v>1</v>
      </c>
      <c r="J380">
        <v>8344863.55</v>
      </c>
      <c r="K380">
        <v>10550124</v>
      </c>
      <c r="L380">
        <v>10550124</v>
      </c>
      <c r="M380">
        <v>998427.25</v>
      </c>
      <c r="N380">
        <v>998427.25</v>
      </c>
      <c r="O380">
        <v>-1206833.2</v>
      </c>
      <c r="P380">
        <v>-1206833.2</v>
      </c>
      <c r="Q380">
        <v>10201201</v>
      </c>
      <c r="R380" t="s">
        <v>497</v>
      </c>
      <c r="S380"/>
      <c r="T380"/>
    </row>
    <row r="381" spans="1:20" customHeight="1" ht="14.5">
      <c r="A381" s="178">
        <v>80</v>
      </c>
      <c r="B381" s="178" t="s">
        <v>412</v>
      </c>
      <c r="C381" s="178">
        <v>3001950.05</v>
      </c>
      <c r="D381">
        <v>3001950.05</v>
      </c>
      <c r="E381">
        <v>2826390.65</v>
      </c>
      <c r="F381">
        <v>1</v>
      </c>
      <c r="G381">
        <v>2826390.65</v>
      </c>
      <c r="H381">
        <v>2826390.65</v>
      </c>
      <c r="I381">
        <v>1</v>
      </c>
      <c r="J381">
        <v>2826390.65</v>
      </c>
      <c r="K381">
        <v>3241750</v>
      </c>
      <c r="L381">
        <v>3241750</v>
      </c>
      <c r="M381">
        <v>175559.4</v>
      </c>
      <c r="N381">
        <v>175559.4</v>
      </c>
      <c r="O381">
        <v>-239799.95</v>
      </c>
      <c r="P381">
        <v>-239799.95</v>
      </c>
      <c r="Q381">
        <v>3241750</v>
      </c>
      <c r="R381" t="s">
        <v>497</v>
      </c>
      <c r="S381"/>
      <c r="T381"/>
    </row>
    <row r="382" spans="1:20" customHeight="1" ht="14.5">
      <c r="A382" s="178">
        <v>90</v>
      </c>
      <c r="B382" s="178" t="s">
        <v>413</v>
      </c>
      <c r="C382" s="178">
        <v>1332469.8</v>
      </c>
      <c r="D382">
        <v>1332469.8</v>
      </c>
      <c r="E382">
        <v>1280514.66</v>
      </c>
      <c r="F382">
        <v>1</v>
      </c>
      <c r="G382">
        <v>1280514.66</v>
      </c>
      <c r="H382">
        <v>1280514.66</v>
      </c>
      <c r="I382">
        <v>1</v>
      </c>
      <c r="J382">
        <v>1280514.66</v>
      </c>
      <c r="K382">
        <v>1179764</v>
      </c>
      <c r="L382">
        <v>1179764</v>
      </c>
      <c r="M382">
        <v>51955.14</v>
      </c>
      <c r="N382">
        <v>51955.14</v>
      </c>
      <c r="O382">
        <v>152705.8</v>
      </c>
      <c r="P382">
        <v>152705.8</v>
      </c>
      <c r="Q382">
        <v>1179764</v>
      </c>
      <c r="R382" t="s">
        <v>497</v>
      </c>
      <c r="S382"/>
      <c r="T382"/>
    </row>
    <row r="383" spans="1:20" customHeight="1" ht="14.5">
      <c r="A383" s="178">
        <v>100</v>
      </c>
      <c r="B383" s="178" t="s">
        <v>414</v>
      </c>
      <c r="C383" s="178">
        <v>231417.85</v>
      </c>
      <c r="D383">
        <v>231417.85</v>
      </c>
      <c r="E383">
        <v>475475.21</v>
      </c>
      <c r="F383">
        <v>1</v>
      </c>
      <c r="G383">
        <v>475475.21</v>
      </c>
      <c r="H383">
        <v>475475.21</v>
      </c>
      <c r="I383">
        <v>1</v>
      </c>
      <c r="J383">
        <v>475475.21</v>
      </c>
      <c r="K383">
        <v>320128</v>
      </c>
      <c r="L383">
        <v>320128</v>
      </c>
      <c r="M383">
        <v>-244057.36</v>
      </c>
      <c r="N383">
        <v>-244057.36</v>
      </c>
      <c r="O383">
        <v>-88710.15</v>
      </c>
      <c r="P383">
        <v>-88710.15</v>
      </c>
      <c r="Q383">
        <v>320128</v>
      </c>
      <c r="R383" t="s">
        <v>497</v>
      </c>
      <c r="S383"/>
      <c r="T383"/>
    </row>
    <row r="384" spans="1:20" customHeight="1" ht="14.5">
      <c r="A384" s="178">
        <v>110</v>
      </c>
      <c r="B384" s="178" t="s">
        <v>415</v>
      </c>
      <c r="C384" s="178">
        <v>4565837.7</v>
      </c>
      <c r="D384">
        <v>4565837.7</v>
      </c>
      <c r="E384">
        <v>4582380.52</v>
      </c>
      <c r="F384">
        <v>1</v>
      </c>
      <c r="G384">
        <v>4582380.52</v>
      </c>
      <c r="H384">
        <v>4582380.52</v>
      </c>
      <c r="I384">
        <v>1</v>
      </c>
      <c r="J384">
        <v>4582380.52</v>
      </c>
      <c r="K384">
        <v>4741642</v>
      </c>
      <c r="L384">
        <v>4741642</v>
      </c>
      <c r="M384">
        <v>-16542.82</v>
      </c>
      <c r="N384">
        <v>-16542.82</v>
      </c>
      <c r="O384">
        <v>-175804.3</v>
      </c>
      <c r="P384">
        <v>-175804.3</v>
      </c>
      <c r="Q384">
        <v>4741642</v>
      </c>
      <c r="R384" t="s">
        <v>497</v>
      </c>
      <c r="S384"/>
      <c r="T384"/>
    </row>
    <row r="385" spans="1:20" customHeight="1" ht="14.5">
      <c r="A385" s="178">
        <v>120</v>
      </c>
      <c r="B385" s="178" t="s">
        <v>416</v>
      </c>
      <c r="C385" s="178">
        <v>4777453.1</v>
      </c>
      <c r="D385">
        <v>4777453.1</v>
      </c>
      <c r="E385">
        <v>3762483.03</v>
      </c>
      <c r="F385">
        <v>1</v>
      </c>
      <c r="G385">
        <v>3762483.03</v>
      </c>
      <c r="H385">
        <v>3762483.03</v>
      </c>
      <c r="I385">
        <v>1</v>
      </c>
      <c r="J385">
        <v>3762483.03</v>
      </c>
      <c r="K385">
        <v>5808482</v>
      </c>
      <c r="L385">
        <v>5808482</v>
      </c>
      <c r="M385">
        <v>1014970.07</v>
      </c>
      <c r="N385">
        <v>1014970.07</v>
      </c>
      <c r="O385">
        <v>-1031028.9</v>
      </c>
      <c r="P385">
        <v>-1031028.9</v>
      </c>
      <c r="Q385">
        <v>5459559</v>
      </c>
      <c r="R385" t="s">
        <v>497</v>
      </c>
      <c r="S385"/>
      <c r="T385"/>
    </row>
    <row r="386" spans="1:20" customHeight="1" ht="14.5">
      <c r="A386" s="178">
        <v>130</v>
      </c>
      <c r="B386" s="178" t="s">
        <v>417</v>
      </c>
      <c r="C386" s="178">
        <v>749570.76</v>
      </c>
      <c r="D386">
        <v>749570.76</v>
      </c>
      <c r="E386">
        <v>-272386.94</v>
      </c>
      <c r="F386">
        <v>1</v>
      </c>
      <c r="G386">
        <v>-272386.94</v>
      </c>
      <c r="H386">
        <v>-272386.94</v>
      </c>
      <c r="I386">
        <v>1</v>
      </c>
      <c r="J386">
        <v>-272386.94</v>
      </c>
      <c r="K386">
        <v>-2718912</v>
      </c>
      <c r="L386">
        <v>-2718912</v>
      </c>
      <c r="M386">
        <v>1021957.7</v>
      </c>
      <c r="N386">
        <v>1021957.7</v>
      </c>
      <c r="O386">
        <v>3468482.76</v>
      </c>
      <c r="P386">
        <v>3468482.76</v>
      </c>
      <c r="Q386">
        <v>89192</v>
      </c>
      <c r="R386" t="s">
        <v>497</v>
      </c>
      <c r="S386"/>
      <c r="T386"/>
    </row>
    <row r="387" spans="1:20" customHeight="1" ht="14.5">
      <c r="A387" s="178">
        <v>135</v>
      </c>
      <c r="B387" s="178" t="s">
        <v>418</v>
      </c>
      <c r="C387" s="178">
        <v>-103371.69</v>
      </c>
      <c r="D387">
        <v>-103371.69</v>
      </c>
      <c r="E387">
        <v>-54810.93</v>
      </c>
      <c r="F387">
        <v>1</v>
      </c>
      <c r="G387">
        <v>-54810.93</v>
      </c>
      <c r="H387">
        <v>-54810.93</v>
      </c>
      <c r="I387">
        <v>1</v>
      </c>
      <c r="J387">
        <v>-54810.93</v>
      </c>
      <c r="K387">
        <v>0</v>
      </c>
      <c r="L387">
        <v>0</v>
      </c>
      <c r="M387">
        <v>-48560.76</v>
      </c>
      <c r="N387">
        <v>-48560.76</v>
      </c>
      <c r="O387">
        <v>-103371.69</v>
      </c>
      <c r="P387">
        <v>-103371.69</v>
      </c>
      <c r="Q387">
        <v>0</v>
      </c>
      <c r="R387" t="s">
        <v>497</v>
      </c>
      <c r="S387"/>
      <c r="T387"/>
    </row>
    <row r="388" spans="1:20" customHeight="1" ht="14.5">
      <c r="A388" s="178">
        <v>140</v>
      </c>
      <c r="B388" s="178" t="s">
        <v>419</v>
      </c>
      <c r="C388" s="178">
        <v>188640.4</v>
      </c>
      <c r="D388">
        <v>188640.4</v>
      </c>
      <c r="E388">
        <v>283285.04</v>
      </c>
      <c r="F388">
        <v>1</v>
      </c>
      <c r="G388">
        <v>283285.04</v>
      </c>
      <c r="H388">
        <v>283285.04</v>
      </c>
      <c r="I388">
        <v>1</v>
      </c>
      <c r="J388">
        <v>283285.04</v>
      </c>
      <c r="K388">
        <v>177392</v>
      </c>
      <c r="L388">
        <v>177392</v>
      </c>
      <c r="M388">
        <v>-94644.64</v>
      </c>
      <c r="N388">
        <v>-94644.64</v>
      </c>
      <c r="O388">
        <v>11248.4</v>
      </c>
      <c r="P388">
        <v>11248.4</v>
      </c>
      <c r="Q388">
        <v>169618</v>
      </c>
      <c r="R388" t="s">
        <v>497</v>
      </c>
      <c r="S388"/>
      <c r="T388"/>
    </row>
    <row r="389" spans="1:20" customHeight="1" ht="14.5">
      <c r="A389" s="178">
        <v>150</v>
      </c>
      <c r="B389" s="178" t="s">
        <v>420</v>
      </c>
      <c r="C389" s="178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188258</v>
      </c>
      <c r="R389" t="s">
        <v>497</v>
      </c>
      <c r="S389"/>
      <c r="T389"/>
    </row>
    <row r="390" spans="1:20" customHeight="1" ht="14.5">
      <c r="A390" s="178">
        <v>155</v>
      </c>
      <c r="B390" s="178" t="s">
        <v>421</v>
      </c>
      <c r="C390" s="178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497</v>
      </c>
      <c r="S390"/>
      <c r="T390"/>
    </row>
    <row r="391" spans="1:20" customHeight="1" ht="14.5">
      <c r="A391" s="178">
        <v>160</v>
      </c>
      <c r="B391" s="178" t="s">
        <v>422</v>
      </c>
      <c r="C391" s="178">
        <v>834839.47</v>
      </c>
      <c r="D391">
        <v>834839.47</v>
      </c>
      <c r="E391">
        <v>-43912.83</v>
      </c>
      <c r="F391">
        <v>1</v>
      </c>
      <c r="G391">
        <v>-43912.83</v>
      </c>
      <c r="H391">
        <v>-43912.83</v>
      </c>
      <c r="I391">
        <v>1</v>
      </c>
      <c r="J391">
        <v>-43912.83</v>
      </c>
      <c r="K391">
        <v>-2541520</v>
      </c>
      <c r="L391">
        <v>-2541520</v>
      </c>
      <c r="M391">
        <v>878752.3</v>
      </c>
      <c r="N391">
        <v>878752.3</v>
      </c>
      <c r="O391">
        <v>3376359.47</v>
      </c>
      <c r="P391">
        <v>3376359.47</v>
      </c>
      <c r="Q391">
        <v>70552</v>
      </c>
      <c r="R391" t="s">
        <v>497</v>
      </c>
      <c r="S391"/>
      <c r="T391"/>
    </row>
    <row r="392" spans="1:20" customHeight="1" ht="14.5">
      <c r="A392" s="178">
        <v>170</v>
      </c>
      <c r="B392" s="178" t="s">
        <v>423</v>
      </c>
      <c r="C392" s="178">
        <v>3942613.63</v>
      </c>
      <c r="D392">
        <v>3942613.63</v>
      </c>
      <c r="E392">
        <v>3806395.86</v>
      </c>
      <c r="F392">
        <v>1</v>
      </c>
      <c r="G392">
        <v>3806395.86</v>
      </c>
      <c r="H392">
        <v>3806395.86</v>
      </c>
      <c r="I392">
        <v>1</v>
      </c>
      <c r="J392">
        <v>3806395.86</v>
      </c>
      <c r="K392">
        <v>8350002</v>
      </c>
      <c r="L392">
        <v>8350002</v>
      </c>
      <c r="M392">
        <v>136217.77</v>
      </c>
      <c r="N392">
        <v>136217.77</v>
      </c>
      <c r="O392">
        <v>-4407388.37</v>
      </c>
      <c r="P392">
        <v>-4407388.37</v>
      </c>
      <c r="Q392">
        <v>5389007</v>
      </c>
      <c r="R392" t="s">
        <v>497</v>
      </c>
      <c r="S392"/>
      <c r="T392"/>
    </row>
    <row r="393" spans="1:20">
      <c r="A393" s="178">
        <v>180</v>
      </c>
      <c r="B393" s="178" t="s">
        <v>424</v>
      </c>
      <c r="C393" s="178">
        <v>1342979</v>
      </c>
      <c r="D393">
        <v>1342979</v>
      </c>
      <c r="E393">
        <v>1653419</v>
      </c>
      <c r="F393">
        <v>1</v>
      </c>
      <c r="G393">
        <v>1653419</v>
      </c>
      <c r="H393">
        <v>1653419</v>
      </c>
      <c r="I393">
        <v>1</v>
      </c>
      <c r="J393">
        <v>1653419</v>
      </c>
      <c r="K393">
        <v>766952</v>
      </c>
      <c r="L393">
        <v>766952</v>
      </c>
      <c r="M393">
        <v>-310440</v>
      </c>
      <c r="N393">
        <v>-310440</v>
      </c>
      <c r="O393">
        <v>576027</v>
      </c>
      <c r="P393">
        <v>576027</v>
      </c>
      <c r="Q393">
        <v>748554</v>
      </c>
      <c r="R393" t="s">
        <v>497</v>
      </c>
      <c r="S393"/>
      <c r="T393"/>
    </row>
    <row r="394" spans="1:20">
      <c r="A394" s="178">
        <v>190</v>
      </c>
      <c r="B394" s="178" t="s">
        <v>425</v>
      </c>
      <c r="C394" s="178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497</v>
      </c>
      <c r="S394"/>
      <c r="T394"/>
    </row>
    <row r="395" spans="1:20" customHeight="1" ht="14.5">
      <c r="A395" s="178">
        <v>200</v>
      </c>
      <c r="B395" s="178" t="s">
        <v>426</v>
      </c>
      <c r="C395" s="178">
        <v>2599634.63</v>
      </c>
      <c r="D395">
        <v>2599634.63</v>
      </c>
      <c r="E395">
        <v>2152976.86</v>
      </c>
      <c r="F395">
        <v>1</v>
      </c>
      <c r="G395">
        <v>2152976.86</v>
      </c>
      <c r="H395">
        <v>2152976.86</v>
      </c>
      <c r="I395">
        <v>1</v>
      </c>
      <c r="J395">
        <v>2152976.86</v>
      </c>
      <c r="K395">
        <v>7583050</v>
      </c>
      <c r="L395">
        <v>7583050</v>
      </c>
      <c r="M395">
        <v>446657.77</v>
      </c>
      <c r="N395">
        <v>446657.77</v>
      </c>
      <c r="O395">
        <v>-4983415.37</v>
      </c>
      <c r="P395">
        <v>-4983415.37</v>
      </c>
      <c r="Q395">
        <v>4640453</v>
      </c>
      <c r="R395" t="s">
        <v>497</v>
      </c>
      <c r="S395"/>
      <c r="T395"/>
    </row>
    <row r="396" spans="1:20" customHeight="1" ht="14.5">
      <c r="A396" s="178">
        <v>210</v>
      </c>
      <c r="B396" s="178" t="s">
        <v>427</v>
      </c>
      <c r="C396" s="178">
        <v>5008870.95</v>
      </c>
      <c r="D396">
        <v>5008870.95</v>
      </c>
      <c r="E396">
        <v>4237958.24</v>
      </c>
      <c r="F396">
        <v>1</v>
      </c>
      <c r="G396">
        <v>4237958.24</v>
      </c>
      <c r="H396">
        <v>4237958.24</v>
      </c>
      <c r="I396">
        <v>1</v>
      </c>
      <c r="J396">
        <v>4237958.24</v>
      </c>
      <c r="K396">
        <v>6128610</v>
      </c>
      <c r="L396">
        <v>6128610</v>
      </c>
      <c r="M396">
        <v>770912.71</v>
      </c>
      <c r="N396">
        <v>770912.71</v>
      </c>
      <c r="O396">
        <v>-1119739.05</v>
      </c>
      <c r="P396">
        <v>-1119739.05</v>
      </c>
      <c r="Q396">
        <v>5779687</v>
      </c>
      <c r="R396" t="s">
        <v>497</v>
      </c>
      <c r="S396"/>
      <c r="T396"/>
    </row>
    <row r="397" spans="1:20" s="180" customFormat="1">
      <c r="A397" s="180" t="s">
        <v>452</v>
      </c>
      <c r="B397" s="180" t="s">
        <v>402</v>
      </c>
      <c r="C397" s="180" t="s">
        <v>509</v>
      </c>
      <c r="D397" s="180" t="s">
        <v>510</v>
      </c>
      <c r="E397" s="180" t="s">
        <v>403</v>
      </c>
      <c r="F397" s="180" t="s">
        <v>511</v>
      </c>
      <c r="G397" s="180" t="s">
        <v>512</v>
      </c>
      <c r="H397" s="180" t="s">
        <v>513</v>
      </c>
      <c r="I397" s="180" t="s">
        <v>514</v>
      </c>
      <c r="J397" s="180" t="s">
        <v>515</v>
      </c>
      <c r="K397" s="180" t="s">
        <v>437</v>
      </c>
      <c r="L397" s="180" t="s">
        <v>516</v>
      </c>
      <c r="M397" s="180" t="s">
        <v>530</v>
      </c>
      <c r="N397" s="180" t="s">
        <v>532</v>
      </c>
      <c r="O397" s="180" t="s">
        <v>533</v>
      </c>
      <c r="P397" s="180" t="s">
        <v>534</v>
      </c>
      <c r="Q397" s="180" t="s">
        <v>526</v>
      </c>
      <c r="R397" s="180" t="s">
        <v>405</v>
      </c>
      <c r="S397" s="180"/>
      <c r="T397" s="180"/>
    </row>
    <row r="398" spans="1:20" customHeight="1" ht="14.5">
      <c r="A398" s="178">
        <v>30</v>
      </c>
      <c r="B398" s="178" t="s">
        <v>406</v>
      </c>
      <c r="C398" s="178">
        <v>5164521.59</v>
      </c>
      <c r="D398">
        <v>5164521.59</v>
      </c>
      <c r="E398">
        <v>3727719.46</v>
      </c>
      <c r="F398">
        <v>1</v>
      </c>
      <c r="G398">
        <v>3727719.46</v>
      </c>
      <c r="H398">
        <v>3727719.46</v>
      </c>
      <c r="I398">
        <v>1</v>
      </c>
      <c r="J398">
        <v>3727719.46</v>
      </c>
      <c r="K398">
        <v>6508937</v>
      </c>
      <c r="L398">
        <v>6508937</v>
      </c>
      <c r="M398">
        <v>1436802.13</v>
      </c>
      <c r="N398">
        <v>1436802.13</v>
      </c>
      <c r="O398">
        <v>-1344415.41</v>
      </c>
      <c r="P398">
        <v>-1344415.41</v>
      </c>
      <c r="Q398">
        <v>6151872</v>
      </c>
      <c r="R398" t="s">
        <v>497</v>
      </c>
      <c r="S398"/>
      <c r="T398"/>
    </row>
    <row r="399" spans="1:20" customHeight="1" ht="14.5">
      <c r="A399" s="178">
        <v>40</v>
      </c>
      <c r="B399" s="178" t="s">
        <v>408</v>
      </c>
      <c r="C399" s="178">
        <v>-72469.58</v>
      </c>
      <c r="D399">
        <v>-72469.58</v>
      </c>
      <c r="E399">
        <v>-80539.65</v>
      </c>
      <c r="F399">
        <v>1</v>
      </c>
      <c r="G399">
        <v>-80539.65</v>
      </c>
      <c r="H399">
        <v>-80539.65</v>
      </c>
      <c r="I399">
        <v>1</v>
      </c>
      <c r="J399">
        <v>-80539.65</v>
      </c>
      <c r="K399">
        <v>0</v>
      </c>
      <c r="L399">
        <v>0</v>
      </c>
      <c r="M399">
        <v>8070.07</v>
      </c>
      <c r="N399">
        <v>8070.07</v>
      </c>
      <c r="O399">
        <v>-72469.58</v>
      </c>
      <c r="P399">
        <v>-72469.58</v>
      </c>
      <c r="Q399">
        <v>0</v>
      </c>
      <c r="R399" t="s">
        <v>497</v>
      </c>
      <c r="S399"/>
      <c r="T399"/>
    </row>
    <row r="400" spans="1:20">
      <c r="A400" s="178">
        <v>50</v>
      </c>
      <c r="B400" s="178" t="s">
        <v>409</v>
      </c>
      <c r="C400" s="178">
        <v>5092052.01</v>
      </c>
      <c r="D400">
        <v>5092052.01</v>
      </c>
      <c r="E400">
        <v>3647179.81</v>
      </c>
      <c r="F400">
        <v>1</v>
      </c>
      <c r="G400">
        <v>3647179.81</v>
      </c>
      <c r="H400">
        <v>3647179.81</v>
      </c>
      <c r="I400">
        <v>1</v>
      </c>
      <c r="J400">
        <v>3647179.81</v>
      </c>
      <c r="K400">
        <v>6508937</v>
      </c>
      <c r="L400">
        <v>6508937</v>
      </c>
      <c r="M400">
        <v>1444872.2</v>
      </c>
      <c r="N400">
        <v>1444872.2</v>
      </c>
      <c r="O400">
        <v>-1416884.99</v>
      </c>
      <c r="P400">
        <v>-1416884.99</v>
      </c>
      <c r="Q400">
        <v>6151872</v>
      </c>
      <c r="R400" t="s">
        <v>497</v>
      </c>
      <c r="S400"/>
      <c r="T400"/>
    </row>
    <row r="401" spans="1:20">
      <c r="A401" s="178">
        <v>60</v>
      </c>
      <c r="B401" s="178" t="s">
        <v>410</v>
      </c>
      <c r="C401" s="178">
        <v>3185314.67</v>
      </c>
      <c r="D401">
        <v>3185314.67</v>
      </c>
      <c r="E401">
        <v>1937394.93</v>
      </c>
      <c r="F401">
        <v>1</v>
      </c>
      <c r="G401">
        <v>1937394.93</v>
      </c>
      <c r="H401">
        <v>1937394.93</v>
      </c>
      <c r="I401">
        <v>1</v>
      </c>
      <c r="J401">
        <v>1937394.93</v>
      </c>
      <c r="K401">
        <v>3602426</v>
      </c>
      <c r="L401">
        <v>3602426</v>
      </c>
      <c r="M401">
        <v>1247919.74</v>
      </c>
      <c r="N401">
        <v>1247919.74</v>
      </c>
      <c r="O401">
        <v>-417111.33</v>
      </c>
      <c r="P401">
        <v>-417111.33</v>
      </c>
      <c r="Q401">
        <v>3404805</v>
      </c>
      <c r="R401" t="s">
        <v>497</v>
      </c>
      <c r="S401"/>
      <c r="T401"/>
    </row>
    <row r="402" spans="1:20">
      <c r="A402" s="178">
        <v>70</v>
      </c>
      <c r="B402" s="178" t="s">
        <v>411</v>
      </c>
      <c r="C402" s="178">
        <v>1906737.34</v>
      </c>
      <c r="D402">
        <v>1906737.34</v>
      </c>
      <c r="E402">
        <v>1709784.88</v>
      </c>
      <c r="F402">
        <v>1</v>
      </c>
      <c r="G402">
        <v>1709784.88</v>
      </c>
      <c r="H402">
        <v>1709784.88</v>
      </c>
      <c r="I402">
        <v>1</v>
      </c>
      <c r="J402">
        <v>1709784.88</v>
      </c>
      <c r="K402">
        <v>2906511</v>
      </c>
      <c r="L402">
        <v>2906511</v>
      </c>
      <c r="M402">
        <v>196952.46</v>
      </c>
      <c r="N402">
        <v>196952.46</v>
      </c>
      <c r="O402">
        <v>-999773.66</v>
      </c>
      <c r="P402">
        <v>-999773.66</v>
      </c>
      <c r="Q402">
        <v>2747067</v>
      </c>
      <c r="R402" t="s">
        <v>497</v>
      </c>
      <c r="S402"/>
      <c r="T402"/>
    </row>
    <row r="403" spans="1:20" customHeight="1" ht="14.5">
      <c r="A403" s="178">
        <v>80</v>
      </c>
      <c r="B403" s="178" t="s">
        <v>412</v>
      </c>
      <c r="C403" s="178">
        <v>1165663.42</v>
      </c>
      <c r="D403">
        <v>1165663.42</v>
      </c>
      <c r="E403">
        <v>1143828.4</v>
      </c>
      <c r="F403">
        <v>1</v>
      </c>
      <c r="G403">
        <v>1143828.4</v>
      </c>
      <c r="H403">
        <v>1143828.4</v>
      </c>
      <c r="I403">
        <v>1</v>
      </c>
      <c r="J403">
        <v>1143828.4</v>
      </c>
      <c r="K403">
        <v>1211771</v>
      </c>
      <c r="L403">
        <v>1211771</v>
      </c>
      <c r="M403">
        <v>21835.02</v>
      </c>
      <c r="N403">
        <v>21835.02</v>
      </c>
      <c r="O403">
        <v>-46107.58</v>
      </c>
      <c r="P403">
        <v>-46107.58</v>
      </c>
      <c r="Q403">
        <v>1207585</v>
      </c>
      <c r="R403" t="s">
        <v>497</v>
      </c>
      <c r="S403"/>
      <c r="T403"/>
    </row>
    <row r="404" spans="1:20" customHeight="1" ht="14.5">
      <c r="A404" s="178">
        <v>90</v>
      </c>
      <c r="B404" s="178" t="s">
        <v>413</v>
      </c>
      <c r="C404" s="178">
        <v>6026.41</v>
      </c>
      <c r="D404">
        <v>6026.41</v>
      </c>
      <c r="E404">
        <v>2037</v>
      </c>
      <c r="F404">
        <v>1</v>
      </c>
      <c r="G404">
        <v>2037</v>
      </c>
      <c r="H404">
        <v>2037</v>
      </c>
      <c r="I404">
        <v>1</v>
      </c>
      <c r="J404">
        <v>2037</v>
      </c>
      <c r="K404">
        <v>3333</v>
      </c>
      <c r="L404">
        <v>3333</v>
      </c>
      <c r="M404">
        <v>3989.41</v>
      </c>
      <c r="N404">
        <v>3989.41</v>
      </c>
      <c r="O404">
        <v>2693.41</v>
      </c>
      <c r="P404">
        <v>2693.41</v>
      </c>
      <c r="Q404">
        <v>3333</v>
      </c>
      <c r="R404" t="s">
        <v>497</v>
      </c>
      <c r="S404"/>
      <c r="T404"/>
    </row>
    <row r="405" spans="1:20" customHeight="1" ht="14.5">
      <c r="A405" s="178">
        <v>100</v>
      </c>
      <c r="B405" s="178" t="s">
        <v>414</v>
      </c>
      <c r="C405" s="178">
        <v>296237.73</v>
      </c>
      <c r="D405">
        <v>296237.73</v>
      </c>
      <c r="E405">
        <v>273993.85</v>
      </c>
      <c r="F405">
        <v>1</v>
      </c>
      <c r="G405">
        <v>273993.85</v>
      </c>
      <c r="H405">
        <v>273993.85</v>
      </c>
      <c r="I405">
        <v>1</v>
      </c>
      <c r="J405">
        <v>273993.85</v>
      </c>
      <c r="K405">
        <v>287254</v>
      </c>
      <c r="L405">
        <v>287254</v>
      </c>
      <c r="M405">
        <v>22243.88</v>
      </c>
      <c r="N405">
        <v>22243.88</v>
      </c>
      <c r="O405">
        <v>8983.73</v>
      </c>
      <c r="P405">
        <v>8983.73</v>
      </c>
      <c r="Q405">
        <v>287254</v>
      </c>
      <c r="R405" t="s">
        <v>497</v>
      </c>
      <c r="S405"/>
      <c r="T405"/>
    </row>
    <row r="406" spans="1:20" customHeight="1" ht="14.5">
      <c r="A406" s="178">
        <v>110</v>
      </c>
      <c r="B406" s="178" t="s">
        <v>415</v>
      </c>
      <c r="C406" s="178">
        <v>1467927.56</v>
      </c>
      <c r="D406">
        <v>1467927.56</v>
      </c>
      <c r="E406">
        <v>1419859.25</v>
      </c>
      <c r="F406">
        <v>1</v>
      </c>
      <c r="G406">
        <v>1419859.25</v>
      </c>
      <c r="H406">
        <v>1419859.25</v>
      </c>
      <c r="I406">
        <v>1</v>
      </c>
      <c r="J406">
        <v>1419859.25</v>
      </c>
      <c r="K406">
        <v>1502358</v>
      </c>
      <c r="L406">
        <v>1502358</v>
      </c>
      <c r="M406">
        <v>48068.31</v>
      </c>
      <c r="N406">
        <v>48068.31</v>
      </c>
      <c r="O406">
        <v>-34430.44</v>
      </c>
      <c r="P406">
        <v>-34430.44</v>
      </c>
      <c r="Q406">
        <v>1498172</v>
      </c>
      <c r="R406" t="s">
        <v>497</v>
      </c>
      <c r="S406"/>
      <c r="T406"/>
    </row>
    <row r="407" spans="1:20" customHeight="1" ht="14.5">
      <c r="A407" s="178">
        <v>120</v>
      </c>
      <c r="B407" s="178" t="s">
        <v>416</v>
      </c>
      <c r="C407" s="178">
        <v>438809.78</v>
      </c>
      <c r="D407">
        <v>438809.78</v>
      </c>
      <c r="E407">
        <v>289925.63</v>
      </c>
      <c r="F407">
        <v>1</v>
      </c>
      <c r="G407">
        <v>289925.63</v>
      </c>
      <c r="H407">
        <v>289925.63</v>
      </c>
      <c r="I407">
        <v>1</v>
      </c>
      <c r="J407">
        <v>289925.63</v>
      </c>
      <c r="K407">
        <v>1404153</v>
      </c>
      <c r="L407">
        <v>1404153</v>
      </c>
      <c r="M407">
        <v>148884.15</v>
      </c>
      <c r="N407">
        <v>148884.15</v>
      </c>
      <c r="O407">
        <v>-965343.22</v>
      </c>
      <c r="P407">
        <v>-965343.22</v>
      </c>
      <c r="Q407">
        <v>1248895</v>
      </c>
      <c r="R407" t="s">
        <v>497</v>
      </c>
      <c r="S407"/>
      <c r="T407"/>
    </row>
    <row r="408" spans="1:20" customHeight="1" ht="14.5">
      <c r="A408" s="178">
        <v>130</v>
      </c>
      <c r="B408" s="178" t="s">
        <v>417</v>
      </c>
      <c r="C408" s="17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497</v>
      </c>
      <c r="S408"/>
      <c r="T408"/>
    </row>
    <row r="409" spans="1:20" customHeight="1" ht="14.5">
      <c r="A409" s="178">
        <v>135</v>
      </c>
      <c r="B409" s="178" t="s">
        <v>418</v>
      </c>
      <c r="C409" s="178">
        <v>-12931.92</v>
      </c>
      <c r="D409">
        <v>-12931.92</v>
      </c>
      <c r="E409">
        <v>-3.34</v>
      </c>
      <c r="F409">
        <v>1</v>
      </c>
      <c r="G409">
        <v>-3.34</v>
      </c>
      <c r="H409">
        <v>-3.34</v>
      </c>
      <c r="I409">
        <v>1</v>
      </c>
      <c r="J409">
        <v>-3.34</v>
      </c>
      <c r="K409">
        <v>0</v>
      </c>
      <c r="L409">
        <v>0</v>
      </c>
      <c r="M409">
        <v>-12928.58</v>
      </c>
      <c r="N409">
        <v>-12928.58</v>
      </c>
      <c r="O409">
        <v>-12931.92</v>
      </c>
      <c r="P409">
        <v>-12931.92</v>
      </c>
      <c r="Q409">
        <v>0</v>
      </c>
      <c r="R409" t="s">
        <v>497</v>
      </c>
      <c r="S409"/>
      <c r="T409"/>
    </row>
    <row r="410" spans="1:20" customHeight="1" ht="14.5">
      <c r="A410" s="178">
        <v>140</v>
      </c>
      <c r="B410" s="178" t="s">
        <v>419</v>
      </c>
      <c r="C410" s="178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497</v>
      </c>
      <c r="S410"/>
      <c r="T410"/>
    </row>
    <row r="411" spans="1:20" customHeight="1" ht="14.5">
      <c r="A411" s="178">
        <v>150</v>
      </c>
      <c r="B411" s="178" t="s">
        <v>420</v>
      </c>
      <c r="C411" s="178">
        <v>4.97</v>
      </c>
      <c r="D411">
        <v>4.97</v>
      </c>
      <c r="E411">
        <v>5.1</v>
      </c>
      <c r="F411">
        <v>1</v>
      </c>
      <c r="G411">
        <v>5.1</v>
      </c>
      <c r="H411">
        <v>5.1</v>
      </c>
      <c r="I411">
        <v>1</v>
      </c>
      <c r="J411">
        <v>5.1</v>
      </c>
      <c r="K411">
        <v>0</v>
      </c>
      <c r="L411">
        <v>0</v>
      </c>
      <c r="M411">
        <v>-0.13</v>
      </c>
      <c r="N411">
        <v>-0.13</v>
      </c>
      <c r="O411">
        <v>4.97</v>
      </c>
      <c r="P411">
        <v>4.97</v>
      </c>
      <c r="Q411">
        <v>0</v>
      </c>
      <c r="R411" t="s">
        <v>497</v>
      </c>
      <c r="S411"/>
      <c r="T411"/>
    </row>
    <row r="412" spans="1:20" customHeight="1" ht="14.5">
      <c r="A412" s="178">
        <v>155</v>
      </c>
      <c r="B412" s="178" t="s">
        <v>421</v>
      </c>
      <c r="C412" s="178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497</v>
      </c>
      <c r="S412"/>
      <c r="T412"/>
    </row>
    <row r="413" spans="1:20" customHeight="1" ht="14.5">
      <c r="A413" s="178">
        <v>160</v>
      </c>
      <c r="B413" s="178" t="s">
        <v>422</v>
      </c>
      <c r="C413" s="178">
        <v>-12936.89</v>
      </c>
      <c r="D413">
        <v>-12936.89</v>
      </c>
      <c r="E413">
        <v>-8.44</v>
      </c>
      <c r="F413">
        <v>1</v>
      </c>
      <c r="G413">
        <v>-8.44</v>
      </c>
      <c r="H413">
        <v>-8.44</v>
      </c>
      <c r="I413">
        <v>1</v>
      </c>
      <c r="J413">
        <v>-8.44</v>
      </c>
      <c r="K413">
        <v>0</v>
      </c>
      <c r="L413">
        <v>0</v>
      </c>
      <c r="M413">
        <v>-12928.45</v>
      </c>
      <c r="N413">
        <v>-12928.45</v>
      </c>
      <c r="O413">
        <v>-12936.89</v>
      </c>
      <c r="P413">
        <v>-12936.89</v>
      </c>
      <c r="Q413">
        <v>0</v>
      </c>
      <c r="R413" t="s">
        <v>497</v>
      </c>
      <c r="S413"/>
      <c r="T413"/>
    </row>
    <row r="414" spans="1:20" customHeight="1" ht="14.5">
      <c r="A414" s="178">
        <v>170</v>
      </c>
      <c r="B414" s="178" t="s">
        <v>423</v>
      </c>
      <c r="C414" s="178">
        <v>451746.67</v>
      </c>
      <c r="D414">
        <v>451746.67</v>
      </c>
      <c r="E414">
        <v>289934.07</v>
      </c>
      <c r="F414">
        <v>1</v>
      </c>
      <c r="G414">
        <v>289934.07</v>
      </c>
      <c r="H414">
        <v>289934.07</v>
      </c>
      <c r="I414">
        <v>1</v>
      </c>
      <c r="J414">
        <v>289934.07</v>
      </c>
      <c r="K414">
        <v>1404153</v>
      </c>
      <c r="L414">
        <v>1404153</v>
      </c>
      <c r="M414">
        <v>161812.6</v>
      </c>
      <c r="N414">
        <v>161812.6</v>
      </c>
      <c r="O414">
        <v>-952406.33</v>
      </c>
      <c r="P414">
        <v>-952406.33</v>
      </c>
      <c r="Q414">
        <v>1248895</v>
      </c>
      <c r="R414" t="s">
        <v>497</v>
      </c>
      <c r="S414"/>
      <c r="T414"/>
    </row>
    <row r="415" spans="1:20">
      <c r="A415" s="178">
        <v>180</v>
      </c>
      <c r="B415" s="178" t="s">
        <v>424</v>
      </c>
      <c r="C415" s="178">
        <v>93350</v>
      </c>
      <c r="D415">
        <v>93350</v>
      </c>
      <c r="E415">
        <v>67211</v>
      </c>
      <c r="F415">
        <v>1</v>
      </c>
      <c r="G415">
        <v>67211</v>
      </c>
      <c r="H415">
        <v>67211</v>
      </c>
      <c r="I415">
        <v>1</v>
      </c>
      <c r="J415">
        <v>67211</v>
      </c>
      <c r="K415">
        <v>185833</v>
      </c>
      <c r="L415">
        <v>185833</v>
      </c>
      <c r="M415">
        <v>26139</v>
      </c>
      <c r="N415">
        <v>26139</v>
      </c>
      <c r="O415">
        <v>-92483</v>
      </c>
      <c r="P415">
        <v>-92483</v>
      </c>
      <c r="Q415">
        <v>175639</v>
      </c>
      <c r="R415" t="s">
        <v>497</v>
      </c>
      <c r="S415"/>
      <c r="T415"/>
    </row>
    <row r="416" spans="1:20">
      <c r="A416" s="178">
        <v>190</v>
      </c>
      <c r="B416" s="178" t="s">
        <v>425</v>
      </c>
      <c r="C416" s="178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497</v>
      </c>
      <c r="S416"/>
      <c r="T416"/>
    </row>
    <row r="417" spans="1:20" customHeight="1" ht="14.5">
      <c r="A417" s="178">
        <v>200</v>
      </c>
      <c r="B417" s="178" t="s">
        <v>426</v>
      </c>
      <c r="C417" s="178">
        <v>358396.67</v>
      </c>
      <c r="D417">
        <v>358396.67</v>
      </c>
      <c r="E417">
        <v>222723.07</v>
      </c>
      <c r="F417">
        <v>1</v>
      </c>
      <c r="G417">
        <v>222723.07</v>
      </c>
      <c r="H417">
        <v>222723.07</v>
      </c>
      <c r="I417">
        <v>1</v>
      </c>
      <c r="J417">
        <v>222723.07</v>
      </c>
      <c r="K417">
        <v>1218320</v>
      </c>
      <c r="L417">
        <v>1218320</v>
      </c>
      <c r="M417">
        <v>135673.6</v>
      </c>
      <c r="N417">
        <v>135673.6</v>
      </c>
      <c r="O417">
        <v>-859923.33</v>
      </c>
      <c r="P417">
        <v>-859923.33</v>
      </c>
      <c r="Q417">
        <v>1073256</v>
      </c>
      <c r="R417" t="s">
        <v>497</v>
      </c>
      <c r="S417"/>
      <c r="T417"/>
    </row>
    <row r="418" spans="1:20" customHeight="1" ht="14.5">
      <c r="A418" s="178">
        <v>210</v>
      </c>
      <c r="B418" s="178" t="s">
        <v>427</v>
      </c>
      <c r="C418" s="178">
        <v>735047.51</v>
      </c>
      <c r="D418">
        <v>735047.51</v>
      </c>
      <c r="E418">
        <v>563919.48</v>
      </c>
      <c r="F418">
        <v>1</v>
      </c>
      <c r="G418">
        <v>563919.48</v>
      </c>
      <c r="H418">
        <v>563919.48</v>
      </c>
      <c r="I418">
        <v>1</v>
      </c>
      <c r="J418">
        <v>563919.48</v>
      </c>
      <c r="K418">
        <v>1691407</v>
      </c>
      <c r="L418">
        <v>1691407</v>
      </c>
      <c r="M418">
        <v>171128.03</v>
      </c>
      <c r="N418">
        <v>171128.03</v>
      </c>
      <c r="O418">
        <v>-956359.49</v>
      </c>
      <c r="P418">
        <v>-956359.49</v>
      </c>
      <c r="Q418">
        <v>1536149</v>
      </c>
      <c r="R418" t="s">
        <v>497</v>
      </c>
      <c r="S418"/>
      <c r="T418"/>
    </row>
    <row r="419" spans="1:20" s="181" customFormat="1">
      <c r="A419" s="181" t="s">
        <v>453</v>
      </c>
      <c r="B419" s="181" t="s">
        <v>402</v>
      </c>
      <c r="C419" s="181" t="s">
        <v>509</v>
      </c>
      <c r="D419" s="181" t="s">
        <v>510</v>
      </c>
      <c r="E419" s="181" t="s">
        <v>403</v>
      </c>
      <c r="F419" s="181" t="s">
        <v>511</v>
      </c>
      <c r="G419" s="181" t="s">
        <v>512</v>
      </c>
      <c r="H419" s="181" t="s">
        <v>513</v>
      </c>
      <c r="I419" s="181" t="s">
        <v>514</v>
      </c>
      <c r="J419" s="181" t="s">
        <v>515</v>
      </c>
      <c r="K419" s="181" t="s">
        <v>437</v>
      </c>
      <c r="L419" s="181" t="s">
        <v>516</v>
      </c>
      <c r="M419" s="181" t="s">
        <v>530</v>
      </c>
      <c r="N419" s="181" t="s">
        <v>532</v>
      </c>
      <c r="O419" s="181" t="s">
        <v>533</v>
      </c>
      <c r="P419" s="181" t="s">
        <v>534</v>
      </c>
      <c r="Q419" s="181" t="s">
        <v>526</v>
      </c>
      <c r="R419" s="181" t="s">
        <v>527</v>
      </c>
      <c r="S419" s="181" t="s">
        <v>537</v>
      </c>
      <c r="T419" s="181" t="s">
        <v>405</v>
      </c>
    </row>
    <row r="420" spans="1:20" customHeight="1" ht="14.5">
      <c r="A420" s="178">
        <v>30</v>
      </c>
      <c r="B420" s="178" t="s">
        <v>406</v>
      </c>
      <c r="C420" s="178">
        <v>1146136.36</v>
      </c>
      <c r="D420">
        <v>1146136.36</v>
      </c>
      <c r="E420">
        <v>1309977.86</v>
      </c>
      <c r="F420">
        <v>1</v>
      </c>
      <c r="G420">
        <v>1309977.86</v>
      </c>
      <c r="H420">
        <v>1309977.86</v>
      </c>
      <c r="I420">
        <v>1</v>
      </c>
      <c r="J420">
        <v>1309977.86</v>
      </c>
      <c r="K420">
        <v>5011662</v>
      </c>
      <c r="L420">
        <v>5011662</v>
      </c>
      <c r="M420">
        <v>-163841.5</v>
      </c>
      <c r="N420">
        <v>-163841.5</v>
      </c>
      <c r="O420">
        <v>-3865525.64</v>
      </c>
      <c r="P420">
        <v>-3865525.64</v>
      </c>
      <c r="Q420">
        <v>5011767</v>
      </c>
      <c r="R420">
        <v>1675915.15</v>
      </c>
      <c r="S420">
        <v>0</v>
      </c>
      <c r="T420" t="s">
        <v>497</v>
      </c>
    </row>
    <row r="421" spans="1:20" customHeight="1" ht="14.5">
      <c r="A421" s="178">
        <v>40</v>
      </c>
      <c r="B421" s="178" t="s">
        <v>408</v>
      </c>
      <c r="C421" s="178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497</v>
      </c>
    </row>
    <row r="422" spans="1:20">
      <c r="A422" s="178">
        <v>50</v>
      </c>
      <c r="B422" s="178" t="s">
        <v>409</v>
      </c>
      <c r="C422" s="178">
        <v>1146136.36</v>
      </c>
      <c r="D422">
        <v>1146136.36</v>
      </c>
      <c r="E422">
        <v>1309977.86</v>
      </c>
      <c r="F422">
        <v>1</v>
      </c>
      <c r="G422">
        <v>1309977.86</v>
      </c>
      <c r="H422">
        <v>1309977.86</v>
      </c>
      <c r="I422">
        <v>1</v>
      </c>
      <c r="J422">
        <v>1309977.86</v>
      </c>
      <c r="K422">
        <v>5011662</v>
      </c>
      <c r="L422">
        <v>5011662</v>
      </c>
      <c r="M422">
        <v>-163841.5</v>
      </c>
      <c r="N422">
        <v>-163841.5</v>
      </c>
      <c r="O422">
        <v>-3865525.64</v>
      </c>
      <c r="P422">
        <v>-3865525.64</v>
      </c>
      <c r="Q422">
        <v>5011767</v>
      </c>
      <c r="R422">
        <v>1675915.15</v>
      </c>
      <c r="S422">
        <v>0</v>
      </c>
      <c r="T422" t="s">
        <v>497</v>
      </c>
    </row>
    <row r="423" spans="1:20">
      <c r="A423" s="178">
        <v>60</v>
      </c>
      <c r="B423" s="178" t="s">
        <v>410</v>
      </c>
      <c r="C423" s="178">
        <v>875762.67</v>
      </c>
      <c r="D423">
        <v>875762.67</v>
      </c>
      <c r="E423">
        <v>1064989.81</v>
      </c>
      <c r="F423">
        <v>1</v>
      </c>
      <c r="G423">
        <v>1064989.81</v>
      </c>
      <c r="H423">
        <v>1064989.81</v>
      </c>
      <c r="I423">
        <v>1</v>
      </c>
      <c r="J423">
        <v>1064989.81</v>
      </c>
      <c r="K423">
        <v>4537833</v>
      </c>
      <c r="L423">
        <v>4537833</v>
      </c>
      <c r="M423">
        <v>-189227.14</v>
      </c>
      <c r="N423">
        <v>-189227.14</v>
      </c>
      <c r="O423">
        <v>-3662070.33</v>
      </c>
      <c r="P423">
        <v>-3662070.33</v>
      </c>
      <c r="Q423">
        <v>4537833</v>
      </c>
      <c r="R423">
        <v>1405553.74</v>
      </c>
      <c r="S423">
        <v>0</v>
      </c>
      <c r="T423" t="s">
        <v>497</v>
      </c>
    </row>
    <row r="424" spans="1:20">
      <c r="A424" s="178">
        <v>70</v>
      </c>
      <c r="B424" s="178" t="s">
        <v>411</v>
      </c>
      <c r="C424" s="178">
        <v>270373.69</v>
      </c>
      <c r="D424">
        <v>270373.69</v>
      </c>
      <c r="E424">
        <v>244988.05</v>
      </c>
      <c r="F424">
        <v>1</v>
      </c>
      <c r="G424">
        <v>244988.05</v>
      </c>
      <c r="H424">
        <v>244988.05</v>
      </c>
      <c r="I424">
        <v>1</v>
      </c>
      <c r="J424">
        <v>244988.05</v>
      </c>
      <c r="K424">
        <v>473829</v>
      </c>
      <c r="L424">
        <v>473829</v>
      </c>
      <c r="M424">
        <v>25385.64</v>
      </c>
      <c r="N424">
        <v>25385.64</v>
      </c>
      <c r="O424">
        <v>-203455.31</v>
      </c>
      <c r="P424">
        <v>-203455.31</v>
      </c>
      <c r="Q424">
        <v>473934</v>
      </c>
      <c r="R424">
        <v>270361.41</v>
      </c>
      <c r="S424">
        <v>0</v>
      </c>
      <c r="T424" t="s">
        <v>497</v>
      </c>
    </row>
    <row r="425" spans="1:20" customHeight="1" ht="14.5">
      <c r="A425" s="178">
        <v>80</v>
      </c>
      <c r="B425" s="178" t="s">
        <v>412</v>
      </c>
      <c r="C425" s="178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497</v>
      </c>
    </row>
    <row r="426" spans="1:20" customHeight="1" ht="14.5">
      <c r="A426" s="178">
        <v>90</v>
      </c>
      <c r="B426" s="178" t="s">
        <v>413</v>
      </c>
      <c r="C426" s="178">
        <v>110568.99</v>
      </c>
      <c r="D426">
        <v>110568.99</v>
      </c>
      <c r="E426">
        <v>122062.98</v>
      </c>
      <c r="F426">
        <v>1</v>
      </c>
      <c r="G426">
        <v>122062.98</v>
      </c>
      <c r="H426">
        <v>122062.98</v>
      </c>
      <c r="I426">
        <v>1</v>
      </c>
      <c r="J426">
        <v>122062.98</v>
      </c>
      <c r="K426">
        <v>132610</v>
      </c>
      <c r="L426">
        <v>132610</v>
      </c>
      <c r="M426">
        <v>-11493.99</v>
      </c>
      <c r="N426">
        <v>-11493.99</v>
      </c>
      <c r="O426">
        <v>-22041.01</v>
      </c>
      <c r="P426">
        <v>-22041.01</v>
      </c>
      <c r="Q426">
        <v>138610</v>
      </c>
      <c r="R426">
        <v>142400.19</v>
      </c>
      <c r="S426">
        <v>0</v>
      </c>
      <c r="T426" t="s">
        <v>497</v>
      </c>
    </row>
    <row r="427" spans="1:20" customHeight="1" ht="14.5">
      <c r="A427" s="178">
        <v>100</v>
      </c>
      <c r="B427" s="178" t="s">
        <v>414</v>
      </c>
      <c r="C427" s="178">
        <v>25049.74</v>
      </c>
      <c r="D427">
        <v>25049.74</v>
      </c>
      <c r="E427">
        <v>24823.91</v>
      </c>
      <c r="F427">
        <v>1</v>
      </c>
      <c r="G427">
        <v>24823.91</v>
      </c>
      <c r="H427">
        <v>24823.91</v>
      </c>
      <c r="I427">
        <v>1</v>
      </c>
      <c r="J427">
        <v>24823.91</v>
      </c>
      <c r="K427">
        <v>27284</v>
      </c>
      <c r="L427">
        <v>27284</v>
      </c>
      <c r="M427">
        <v>225.83</v>
      </c>
      <c r="N427">
        <v>225.83</v>
      </c>
      <c r="O427">
        <v>-2234.26</v>
      </c>
      <c r="P427">
        <v>-2234.26</v>
      </c>
      <c r="Q427">
        <v>27284</v>
      </c>
      <c r="R427">
        <v>24823.91</v>
      </c>
      <c r="S427">
        <v>0</v>
      </c>
      <c r="T427" t="s">
        <v>497</v>
      </c>
    </row>
    <row r="428" spans="1:20" customHeight="1" ht="14.5">
      <c r="A428" s="178">
        <v>110</v>
      </c>
      <c r="B428" s="178" t="s">
        <v>415</v>
      </c>
      <c r="C428" s="178">
        <v>135618.73</v>
      </c>
      <c r="D428">
        <v>135618.73</v>
      </c>
      <c r="E428">
        <v>146886.89</v>
      </c>
      <c r="F428">
        <v>1</v>
      </c>
      <c r="G428">
        <v>146886.89</v>
      </c>
      <c r="H428">
        <v>146886.89</v>
      </c>
      <c r="I428">
        <v>1</v>
      </c>
      <c r="J428">
        <v>146886.89</v>
      </c>
      <c r="K428">
        <v>159894</v>
      </c>
      <c r="L428">
        <v>159894</v>
      </c>
      <c r="M428">
        <v>-11268.16</v>
      </c>
      <c r="N428">
        <v>-11268.16</v>
      </c>
      <c r="O428">
        <v>-24275.27</v>
      </c>
      <c r="P428">
        <v>-24275.27</v>
      </c>
      <c r="Q428">
        <v>165894</v>
      </c>
      <c r="R428">
        <v>167224.1</v>
      </c>
      <c r="S428">
        <v>0</v>
      </c>
      <c r="T428" t="s">
        <v>497</v>
      </c>
    </row>
    <row r="429" spans="1:20" customHeight="1" ht="14.5">
      <c r="A429" s="178">
        <v>120</v>
      </c>
      <c r="B429" s="178" t="s">
        <v>416</v>
      </c>
      <c r="C429" s="178">
        <v>134754.96</v>
      </c>
      <c r="D429">
        <v>134754.96</v>
      </c>
      <c r="E429">
        <v>98101.16</v>
      </c>
      <c r="F429">
        <v>1</v>
      </c>
      <c r="G429">
        <v>98101.16</v>
      </c>
      <c r="H429">
        <v>98101.16</v>
      </c>
      <c r="I429">
        <v>1</v>
      </c>
      <c r="J429">
        <v>98101.16</v>
      </c>
      <c r="K429">
        <v>313935</v>
      </c>
      <c r="L429">
        <v>313935</v>
      </c>
      <c r="M429">
        <v>36653.8</v>
      </c>
      <c r="N429">
        <v>36653.8</v>
      </c>
      <c r="O429">
        <v>-179180.04</v>
      </c>
      <c r="P429">
        <v>-179180.04</v>
      </c>
      <c r="Q429">
        <v>308040</v>
      </c>
      <c r="R429">
        <v>103137.31</v>
      </c>
      <c r="S429">
        <v>0</v>
      </c>
      <c r="T429" t="s">
        <v>497</v>
      </c>
    </row>
    <row r="430" spans="1:20" customHeight="1" ht="14.5">
      <c r="A430" s="178">
        <v>130</v>
      </c>
      <c r="B430" s="178" t="s">
        <v>417</v>
      </c>
      <c r="C430" s="178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497</v>
      </c>
    </row>
    <row r="431" spans="1:20" customHeight="1" ht="14.5">
      <c r="A431" s="178">
        <v>135</v>
      </c>
      <c r="B431" s="178" t="s">
        <v>418</v>
      </c>
      <c r="C431" s="178">
        <v>-8275.59</v>
      </c>
      <c r="D431">
        <v>-8275.59</v>
      </c>
      <c r="E431">
        <v>-25718.5</v>
      </c>
      <c r="F431">
        <v>1</v>
      </c>
      <c r="G431">
        <v>-25718.5</v>
      </c>
      <c r="H431">
        <v>-25718.5</v>
      </c>
      <c r="I431">
        <v>1</v>
      </c>
      <c r="J431">
        <v>-25718.5</v>
      </c>
      <c r="K431">
        <v>0</v>
      </c>
      <c r="L431">
        <v>0</v>
      </c>
      <c r="M431">
        <v>17442.91</v>
      </c>
      <c r="N431">
        <v>17442.91</v>
      </c>
      <c r="O431">
        <v>-8275.59</v>
      </c>
      <c r="P431">
        <v>-8275.59</v>
      </c>
      <c r="Q431">
        <v>0</v>
      </c>
      <c r="R431">
        <v>-18501</v>
      </c>
      <c r="S431">
        <v>0</v>
      </c>
      <c r="T431" t="s">
        <v>497</v>
      </c>
    </row>
    <row r="432" spans="1:20" customHeight="1" ht="14.5">
      <c r="A432" s="178">
        <v>140</v>
      </c>
      <c r="B432" s="178" t="s">
        <v>419</v>
      </c>
      <c r="C432" s="178">
        <v>1409.12</v>
      </c>
      <c r="D432">
        <v>1409.12</v>
      </c>
      <c r="E432">
        <v>1338.92</v>
      </c>
      <c r="F432">
        <v>1</v>
      </c>
      <c r="G432">
        <v>1338.92</v>
      </c>
      <c r="H432">
        <v>1338.92</v>
      </c>
      <c r="I432">
        <v>1</v>
      </c>
      <c r="J432">
        <v>1338.92</v>
      </c>
      <c r="K432">
        <v>2000</v>
      </c>
      <c r="L432">
        <v>2000</v>
      </c>
      <c r="M432">
        <v>70.2</v>
      </c>
      <c r="N432">
        <v>70.2</v>
      </c>
      <c r="O432">
        <v>-590.88</v>
      </c>
      <c r="P432">
        <v>-590.88</v>
      </c>
      <c r="Q432">
        <v>3168</v>
      </c>
      <c r="R432">
        <v>2024.7</v>
      </c>
      <c r="S432">
        <v>0</v>
      </c>
      <c r="T432" t="s">
        <v>497</v>
      </c>
    </row>
    <row r="433" spans="1:20" customHeight="1" ht="14.5">
      <c r="A433" s="178">
        <v>150</v>
      </c>
      <c r="B433" s="178" t="s">
        <v>420</v>
      </c>
      <c r="C433" s="178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497</v>
      </c>
    </row>
    <row r="434" spans="1:20" customHeight="1" ht="14.5">
      <c r="A434" s="178">
        <v>155</v>
      </c>
      <c r="B434" s="178" t="s">
        <v>421</v>
      </c>
      <c r="C434" s="178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497</v>
      </c>
    </row>
    <row r="435" spans="1:20" customHeight="1" ht="14.5">
      <c r="A435" s="178">
        <v>160</v>
      </c>
      <c r="B435" s="178" t="s">
        <v>422</v>
      </c>
      <c r="C435" s="178">
        <v>-6866.47</v>
      </c>
      <c r="D435">
        <v>-6866.47</v>
      </c>
      <c r="E435">
        <v>-24379.58</v>
      </c>
      <c r="F435">
        <v>1</v>
      </c>
      <c r="G435">
        <v>-24379.58</v>
      </c>
      <c r="H435">
        <v>-24379.58</v>
      </c>
      <c r="I435">
        <v>1</v>
      </c>
      <c r="J435">
        <v>-24379.58</v>
      </c>
      <c r="K435">
        <v>2000</v>
      </c>
      <c r="L435">
        <v>2000</v>
      </c>
      <c r="M435">
        <v>17513.11</v>
      </c>
      <c r="N435">
        <v>17513.11</v>
      </c>
      <c r="O435">
        <v>-8866.47</v>
      </c>
      <c r="P435">
        <v>-8866.47</v>
      </c>
      <c r="Q435">
        <v>3168</v>
      </c>
      <c r="R435">
        <v>-16476.3</v>
      </c>
      <c r="S435">
        <v>0</v>
      </c>
      <c r="T435" t="s">
        <v>497</v>
      </c>
    </row>
    <row r="436" spans="1:20" customHeight="1" ht="14.5">
      <c r="A436" s="178">
        <v>170</v>
      </c>
      <c r="B436" s="178" t="s">
        <v>423</v>
      </c>
      <c r="C436" s="178">
        <v>141621.43</v>
      </c>
      <c r="D436">
        <v>141621.43</v>
      </c>
      <c r="E436">
        <v>122480.74</v>
      </c>
      <c r="F436">
        <v>1</v>
      </c>
      <c r="G436">
        <v>122480.74</v>
      </c>
      <c r="H436">
        <v>122480.74</v>
      </c>
      <c r="I436">
        <v>1</v>
      </c>
      <c r="J436">
        <v>122480.74</v>
      </c>
      <c r="K436">
        <v>311935</v>
      </c>
      <c r="L436">
        <v>311935</v>
      </c>
      <c r="M436">
        <v>19140.69</v>
      </c>
      <c r="N436">
        <v>19140.69</v>
      </c>
      <c r="O436">
        <v>-170313.57</v>
      </c>
      <c r="P436">
        <v>-170313.57</v>
      </c>
      <c r="Q436">
        <v>304872</v>
      </c>
      <c r="R436">
        <v>119613.61</v>
      </c>
      <c r="S436">
        <v>0</v>
      </c>
      <c r="T436" t="s">
        <v>497</v>
      </c>
    </row>
    <row r="437" spans="1:20">
      <c r="A437" s="178">
        <v>180</v>
      </c>
      <c r="B437" s="178" t="s">
        <v>424</v>
      </c>
      <c r="C437" s="178">
        <v>41559</v>
      </c>
      <c r="D437">
        <v>41559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180420</v>
      </c>
      <c r="L437">
        <v>180420</v>
      </c>
      <c r="M437">
        <v>41559</v>
      </c>
      <c r="N437">
        <v>41559</v>
      </c>
      <c r="O437">
        <v>-138861</v>
      </c>
      <c r="P437">
        <v>-138861</v>
      </c>
      <c r="Q437">
        <v>180424</v>
      </c>
      <c r="R437">
        <v>0</v>
      </c>
      <c r="S437">
        <v>0</v>
      </c>
      <c r="T437" t="s">
        <v>497</v>
      </c>
    </row>
    <row r="438" spans="1:20">
      <c r="A438" s="178">
        <v>190</v>
      </c>
      <c r="B438" s="178" t="s">
        <v>425</v>
      </c>
      <c r="C438" s="17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497</v>
      </c>
    </row>
    <row r="439" spans="1:20" customHeight="1" ht="14.5">
      <c r="A439" s="178">
        <v>200</v>
      </c>
      <c r="B439" s="178" t="s">
        <v>426</v>
      </c>
      <c r="C439" s="178">
        <v>100062.43</v>
      </c>
      <c r="D439">
        <v>100062.43</v>
      </c>
      <c r="E439">
        <v>122480.74</v>
      </c>
      <c r="F439">
        <v>1</v>
      </c>
      <c r="G439">
        <v>122480.74</v>
      </c>
      <c r="H439">
        <v>122480.74</v>
      </c>
      <c r="I439">
        <v>1</v>
      </c>
      <c r="J439">
        <v>122480.74</v>
      </c>
      <c r="K439">
        <v>131515</v>
      </c>
      <c r="L439">
        <v>131515</v>
      </c>
      <c r="M439">
        <v>-22418.31</v>
      </c>
      <c r="N439">
        <v>-22418.31</v>
      </c>
      <c r="O439">
        <v>-31452.57</v>
      </c>
      <c r="P439">
        <v>-31452.57</v>
      </c>
      <c r="Q439">
        <v>124448</v>
      </c>
      <c r="R439">
        <v>119613.61</v>
      </c>
      <c r="S439">
        <v>0</v>
      </c>
      <c r="T439" t="s">
        <v>497</v>
      </c>
    </row>
    <row r="440" spans="1:20" customHeight="1" ht="14.5">
      <c r="A440" s="178">
        <v>210</v>
      </c>
      <c r="B440" s="178" t="s">
        <v>427</v>
      </c>
      <c r="C440" s="178">
        <v>159804.7</v>
      </c>
      <c r="D440">
        <v>159804.7</v>
      </c>
      <c r="E440">
        <v>122925.07</v>
      </c>
      <c r="F440">
        <v>1</v>
      </c>
      <c r="G440">
        <v>122925.07</v>
      </c>
      <c r="H440">
        <v>122925.07</v>
      </c>
      <c r="I440">
        <v>1</v>
      </c>
      <c r="J440">
        <v>122925.07</v>
      </c>
      <c r="K440">
        <v>341219</v>
      </c>
      <c r="L440">
        <v>341219</v>
      </c>
      <c r="M440">
        <v>36879.63</v>
      </c>
      <c r="N440">
        <v>36879.63</v>
      </c>
      <c r="O440">
        <v>-181414.3</v>
      </c>
      <c r="P440">
        <v>-181414.3</v>
      </c>
      <c r="Q440">
        <v>335324</v>
      </c>
      <c r="R440">
        <v>127961.22</v>
      </c>
      <c r="S440">
        <v>0</v>
      </c>
      <c r="T440" t="s">
        <v>497</v>
      </c>
    </row>
    <row r="441" spans="1:20" s="181" customFormat="1">
      <c r="A441" s="181" t="s">
        <v>454</v>
      </c>
      <c r="B441" s="181" t="s">
        <v>402</v>
      </c>
      <c r="C441" s="181" t="s">
        <v>509</v>
      </c>
      <c r="D441" s="181" t="s">
        <v>510</v>
      </c>
      <c r="E441" s="181" t="s">
        <v>403</v>
      </c>
      <c r="F441" s="181" t="s">
        <v>511</v>
      </c>
      <c r="G441" s="181" t="s">
        <v>512</v>
      </c>
      <c r="H441" s="181" t="s">
        <v>513</v>
      </c>
      <c r="I441" s="181" t="s">
        <v>514</v>
      </c>
      <c r="J441" s="181" t="s">
        <v>515</v>
      </c>
      <c r="K441" s="181" t="s">
        <v>437</v>
      </c>
      <c r="L441" s="181" t="s">
        <v>516</v>
      </c>
      <c r="M441" s="181" t="s">
        <v>530</v>
      </c>
      <c r="N441" s="181" t="s">
        <v>532</v>
      </c>
      <c r="O441" s="181" t="s">
        <v>533</v>
      </c>
      <c r="P441" s="181" t="s">
        <v>534</v>
      </c>
      <c r="Q441" s="181" t="s">
        <v>526</v>
      </c>
      <c r="R441" s="181" t="s">
        <v>527</v>
      </c>
      <c r="S441" s="181" t="s">
        <v>537</v>
      </c>
      <c r="T441" s="181" t="s">
        <v>405</v>
      </c>
    </row>
    <row r="442" spans="1:20" customHeight="1" ht="14.5">
      <c r="A442" s="178">
        <v>30</v>
      </c>
      <c r="B442" s="178" t="s">
        <v>406</v>
      </c>
      <c r="C442" s="178">
        <v>6260773.4</v>
      </c>
      <c r="D442">
        <v>6260773.4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6261000</v>
      </c>
      <c r="L442">
        <v>6261000</v>
      </c>
      <c r="M442">
        <v>6260773.4</v>
      </c>
      <c r="N442">
        <v>6260773.4</v>
      </c>
      <c r="O442">
        <v>-226.6</v>
      </c>
      <c r="P442">
        <v>-226.6</v>
      </c>
      <c r="Q442">
        <v>10082000</v>
      </c>
      <c r="R442">
        <v>3842182.04</v>
      </c>
      <c r="S442">
        <v>0</v>
      </c>
      <c r="T442" t="s">
        <v>497</v>
      </c>
    </row>
    <row r="443" spans="1:20" customHeight="1" ht="14.5">
      <c r="A443" s="178">
        <v>40</v>
      </c>
      <c r="B443" s="178" t="s">
        <v>408</v>
      </c>
      <c r="C443" s="178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497</v>
      </c>
    </row>
    <row r="444" spans="1:20">
      <c r="A444" s="178">
        <v>50</v>
      </c>
      <c r="B444" s="178" t="s">
        <v>409</v>
      </c>
      <c r="C444" s="178">
        <v>6260773.4</v>
      </c>
      <c r="D444">
        <v>6260773.4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6261000</v>
      </c>
      <c r="L444">
        <v>6261000</v>
      </c>
      <c r="M444">
        <v>6260773.4</v>
      </c>
      <c r="N444">
        <v>6260773.4</v>
      </c>
      <c r="O444">
        <v>-226.6</v>
      </c>
      <c r="P444">
        <v>-226.6</v>
      </c>
      <c r="Q444">
        <v>10082000</v>
      </c>
      <c r="R444">
        <v>3842182.04</v>
      </c>
      <c r="S444">
        <v>0</v>
      </c>
      <c r="T444" t="s">
        <v>497</v>
      </c>
    </row>
    <row r="445" spans="1:20">
      <c r="A445" s="178">
        <v>60</v>
      </c>
      <c r="B445" s="178" t="s">
        <v>410</v>
      </c>
      <c r="C445" s="178">
        <v>3000369.26</v>
      </c>
      <c r="D445">
        <v>3000369.26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3000000</v>
      </c>
      <c r="L445">
        <v>3000000</v>
      </c>
      <c r="M445">
        <v>3000369.26</v>
      </c>
      <c r="N445">
        <v>3000369.26</v>
      </c>
      <c r="O445">
        <v>369.26</v>
      </c>
      <c r="P445">
        <v>369.26</v>
      </c>
      <c r="Q445">
        <v>4935000</v>
      </c>
      <c r="R445">
        <v>2018277.94</v>
      </c>
      <c r="S445">
        <v>0</v>
      </c>
      <c r="T445" t="s">
        <v>497</v>
      </c>
    </row>
    <row r="446" spans="1:20">
      <c r="A446" s="178">
        <v>70</v>
      </c>
      <c r="B446" s="178" t="s">
        <v>411</v>
      </c>
      <c r="C446" s="178">
        <v>3260404.14</v>
      </c>
      <c r="D446">
        <v>3260404.14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3261000</v>
      </c>
      <c r="L446">
        <v>3261000</v>
      </c>
      <c r="M446">
        <v>3260404.14</v>
      </c>
      <c r="N446">
        <v>3260404.14</v>
      </c>
      <c r="O446">
        <v>-595.86</v>
      </c>
      <c r="P446">
        <v>-595.86</v>
      </c>
      <c r="Q446">
        <v>5147000</v>
      </c>
      <c r="R446">
        <v>1823904.1</v>
      </c>
      <c r="S446">
        <v>0</v>
      </c>
      <c r="T446" t="s">
        <v>497</v>
      </c>
    </row>
    <row r="447" spans="1:20" customHeight="1" ht="14.5">
      <c r="A447" s="178">
        <v>80</v>
      </c>
      <c r="B447" s="178" t="s">
        <v>412</v>
      </c>
      <c r="C447" s="178">
        <v>48372</v>
      </c>
      <c r="D447">
        <v>48372</v>
      </c>
      <c r="E447">
        <v>78979.38</v>
      </c>
      <c r="F447">
        <v>1</v>
      </c>
      <c r="G447">
        <v>78979.38</v>
      </c>
      <c r="H447">
        <v>78979.38</v>
      </c>
      <c r="I447">
        <v>1</v>
      </c>
      <c r="J447">
        <v>78979.38</v>
      </c>
      <c r="K447">
        <v>286677</v>
      </c>
      <c r="L447">
        <v>286677</v>
      </c>
      <c r="M447">
        <v>-30607.38</v>
      </c>
      <c r="N447">
        <v>-30607.38</v>
      </c>
      <c r="O447">
        <v>-238305</v>
      </c>
      <c r="P447">
        <v>-238305</v>
      </c>
      <c r="Q447">
        <v>441809</v>
      </c>
      <c r="R447">
        <v>184901.03</v>
      </c>
      <c r="S447">
        <v>0</v>
      </c>
      <c r="T447" t="s">
        <v>497</v>
      </c>
    </row>
    <row r="448" spans="1:20" customHeight="1" ht="14.5">
      <c r="A448" s="178">
        <v>90</v>
      </c>
      <c r="B448" s="178" t="s">
        <v>413</v>
      </c>
      <c r="C448" s="178">
        <v>470911.11</v>
      </c>
      <c r="D448">
        <v>470911.11</v>
      </c>
      <c r="E448">
        <v>420153.16</v>
      </c>
      <c r="F448">
        <v>1</v>
      </c>
      <c r="G448">
        <v>420153.16</v>
      </c>
      <c r="H448">
        <v>420153.16</v>
      </c>
      <c r="I448">
        <v>1</v>
      </c>
      <c r="J448">
        <v>420153.16</v>
      </c>
      <c r="K448">
        <v>431000</v>
      </c>
      <c r="L448">
        <v>431000</v>
      </c>
      <c r="M448">
        <v>50757.95</v>
      </c>
      <c r="N448">
        <v>50757.95</v>
      </c>
      <c r="O448">
        <v>39911.11</v>
      </c>
      <c r="P448">
        <v>39911.11</v>
      </c>
      <c r="Q448">
        <v>401000</v>
      </c>
      <c r="R448">
        <v>384581.22</v>
      </c>
      <c r="S448">
        <v>0</v>
      </c>
      <c r="T448" t="s">
        <v>497</v>
      </c>
    </row>
    <row r="449" spans="1:20" customHeight="1" ht="14.5">
      <c r="A449" s="178">
        <v>100</v>
      </c>
      <c r="B449" s="178" t="s">
        <v>414</v>
      </c>
      <c r="C449" s="178">
        <v>6875.67</v>
      </c>
      <c r="D449">
        <v>6875.67</v>
      </c>
      <c r="E449">
        <v>6229.67</v>
      </c>
      <c r="F449">
        <v>1</v>
      </c>
      <c r="G449">
        <v>6229.67</v>
      </c>
      <c r="H449">
        <v>6229.67</v>
      </c>
      <c r="I449">
        <v>1</v>
      </c>
      <c r="J449">
        <v>6229.67</v>
      </c>
      <c r="K449">
        <v>6472</v>
      </c>
      <c r="L449">
        <v>6472</v>
      </c>
      <c r="M449">
        <v>646</v>
      </c>
      <c r="N449">
        <v>646</v>
      </c>
      <c r="O449">
        <v>403.67</v>
      </c>
      <c r="P449">
        <v>403.67</v>
      </c>
      <c r="Q449">
        <v>6472</v>
      </c>
      <c r="R449">
        <v>6229.67</v>
      </c>
      <c r="S449">
        <v>0</v>
      </c>
      <c r="T449" t="s">
        <v>497</v>
      </c>
    </row>
    <row r="450" spans="1:20" customHeight="1" ht="14.5">
      <c r="A450" s="178">
        <v>110</v>
      </c>
      <c r="B450" s="178" t="s">
        <v>415</v>
      </c>
      <c r="C450" s="178">
        <v>526158.78</v>
      </c>
      <c r="D450">
        <v>526158.78</v>
      </c>
      <c r="E450">
        <v>505362.21</v>
      </c>
      <c r="F450">
        <v>1</v>
      </c>
      <c r="G450">
        <v>505362.21</v>
      </c>
      <c r="H450">
        <v>505362.21</v>
      </c>
      <c r="I450">
        <v>1</v>
      </c>
      <c r="J450">
        <v>505362.21</v>
      </c>
      <c r="K450">
        <v>724149</v>
      </c>
      <c r="L450">
        <v>724149</v>
      </c>
      <c r="M450">
        <v>20796.57</v>
      </c>
      <c r="N450">
        <v>20796.57</v>
      </c>
      <c r="O450">
        <v>-197990.22</v>
      </c>
      <c r="P450">
        <v>-197990.22</v>
      </c>
      <c r="Q450">
        <v>849281</v>
      </c>
      <c r="R450">
        <v>575711.92</v>
      </c>
      <c r="S450">
        <v>0</v>
      </c>
      <c r="T450" t="s">
        <v>497</v>
      </c>
    </row>
    <row r="451" spans="1:20" customHeight="1" ht="14.5">
      <c r="A451" s="178">
        <v>120</v>
      </c>
      <c r="B451" s="178" t="s">
        <v>416</v>
      </c>
      <c r="C451" s="178">
        <v>2734245.36</v>
      </c>
      <c r="D451">
        <v>2734245.36</v>
      </c>
      <c r="E451">
        <v>-505362.21</v>
      </c>
      <c r="F451">
        <v>1</v>
      </c>
      <c r="G451">
        <v>-505362.21</v>
      </c>
      <c r="H451">
        <v>-505362.21</v>
      </c>
      <c r="I451">
        <v>1</v>
      </c>
      <c r="J451">
        <v>-505362.21</v>
      </c>
      <c r="K451">
        <v>2536851</v>
      </c>
      <c r="L451">
        <v>2536851</v>
      </c>
      <c r="M451">
        <v>3239607.57</v>
      </c>
      <c r="N451">
        <v>3239607.57</v>
      </c>
      <c r="O451">
        <v>197394.36</v>
      </c>
      <c r="P451">
        <v>197394.36</v>
      </c>
      <c r="Q451">
        <v>4297719</v>
      </c>
      <c r="R451">
        <v>1248192.18</v>
      </c>
      <c r="S451">
        <v>0</v>
      </c>
      <c r="T451" t="s">
        <v>497</v>
      </c>
    </row>
    <row r="452" spans="1:20" customHeight="1" ht="14.5">
      <c r="A452" s="178">
        <v>130</v>
      </c>
      <c r="B452" s="178" t="s">
        <v>417</v>
      </c>
      <c r="C452" s="178">
        <v>17219.02</v>
      </c>
      <c r="D452">
        <v>17219.02</v>
      </c>
      <c r="E452">
        <v>33778.29</v>
      </c>
      <c r="F452">
        <v>1</v>
      </c>
      <c r="G452">
        <v>33778.29</v>
      </c>
      <c r="H452">
        <v>33778.29</v>
      </c>
      <c r="I452">
        <v>1</v>
      </c>
      <c r="J452">
        <v>33778.29</v>
      </c>
      <c r="K452">
        <v>-87000</v>
      </c>
      <c r="L452">
        <v>-87000</v>
      </c>
      <c r="M452">
        <v>-16559.27</v>
      </c>
      <c r="N452">
        <v>-16559.27</v>
      </c>
      <c r="O452">
        <v>104219.02</v>
      </c>
      <c r="P452">
        <v>104219.02</v>
      </c>
      <c r="Q452">
        <v>-87000</v>
      </c>
      <c r="R452">
        <v>118971.97</v>
      </c>
      <c r="S452">
        <v>0</v>
      </c>
      <c r="T452" t="s">
        <v>497</v>
      </c>
    </row>
    <row r="453" spans="1:20" customHeight="1" ht="14.5">
      <c r="A453" s="178">
        <v>135</v>
      </c>
      <c r="B453" s="178" t="s">
        <v>418</v>
      </c>
      <c r="C453" s="178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497</v>
      </c>
    </row>
    <row r="454" spans="1:20" customHeight="1" ht="14.5">
      <c r="A454" s="178">
        <v>140</v>
      </c>
      <c r="B454" s="178" t="s">
        <v>419</v>
      </c>
      <c r="C454" s="178">
        <v>2882.39</v>
      </c>
      <c r="D454">
        <v>2882.39</v>
      </c>
      <c r="E454">
        <v>2083.24</v>
      </c>
      <c r="F454">
        <v>1</v>
      </c>
      <c r="G454">
        <v>2083.24</v>
      </c>
      <c r="H454">
        <v>2083.24</v>
      </c>
      <c r="I454">
        <v>1</v>
      </c>
      <c r="J454">
        <v>2083.24</v>
      </c>
      <c r="K454">
        <v>3000</v>
      </c>
      <c r="L454">
        <v>3000</v>
      </c>
      <c r="M454">
        <v>799.15</v>
      </c>
      <c r="N454">
        <v>799.15</v>
      </c>
      <c r="O454">
        <v>-117.61</v>
      </c>
      <c r="P454">
        <v>-117.61</v>
      </c>
      <c r="Q454">
        <v>3000</v>
      </c>
      <c r="R454">
        <v>2841.58</v>
      </c>
      <c r="S454">
        <v>0</v>
      </c>
      <c r="T454" t="s">
        <v>497</v>
      </c>
    </row>
    <row r="455" spans="1:20" customHeight="1" ht="14.5">
      <c r="A455" s="178">
        <v>150</v>
      </c>
      <c r="B455" s="178" t="s">
        <v>420</v>
      </c>
      <c r="C455" s="178">
        <v>372761.43</v>
      </c>
      <c r="D455">
        <v>372761.43</v>
      </c>
      <c r="E455">
        <v>493886.46</v>
      </c>
      <c r="F455">
        <v>1</v>
      </c>
      <c r="G455">
        <v>493886.46</v>
      </c>
      <c r="H455">
        <v>493886.46</v>
      </c>
      <c r="I455">
        <v>1</v>
      </c>
      <c r="J455">
        <v>493886.46</v>
      </c>
      <c r="K455">
        <v>495000</v>
      </c>
      <c r="L455">
        <v>495000</v>
      </c>
      <c r="M455">
        <v>-121125.03</v>
      </c>
      <c r="N455">
        <v>-121125.03</v>
      </c>
      <c r="O455">
        <v>-122238.57</v>
      </c>
      <c r="P455">
        <v>-122238.57</v>
      </c>
      <c r="Q455">
        <v>495000</v>
      </c>
      <c r="R455">
        <v>343024.18</v>
      </c>
      <c r="S455">
        <v>0</v>
      </c>
      <c r="T455" t="s">
        <v>497</v>
      </c>
    </row>
    <row r="456" spans="1:20" customHeight="1" ht="14.5">
      <c r="A456" s="178">
        <v>155</v>
      </c>
      <c r="B456" s="178" t="s">
        <v>421</v>
      </c>
      <c r="C456" s="178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497</v>
      </c>
    </row>
    <row r="457" spans="1:20" customHeight="1" ht="14.5">
      <c r="A457" s="178">
        <v>160</v>
      </c>
      <c r="B457" s="178" t="s">
        <v>422</v>
      </c>
      <c r="C457" s="178">
        <v>-352660.02</v>
      </c>
      <c r="D457">
        <v>-352660.02</v>
      </c>
      <c r="E457">
        <v>-458024.93</v>
      </c>
      <c r="F457">
        <v>1</v>
      </c>
      <c r="G457">
        <v>-458024.93</v>
      </c>
      <c r="H457">
        <v>-458024.93</v>
      </c>
      <c r="I457">
        <v>1</v>
      </c>
      <c r="J457">
        <v>-458024.93</v>
      </c>
      <c r="K457">
        <v>-579000</v>
      </c>
      <c r="L457">
        <v>-579000</v>
      </c>
      <c r="M457">
        <v>105364.91</v>
      </c>
      <c r="N457">
        <v>105364.91</v>
      </c>
      <c r="O457">
        <v>226339.98</v>
      </c>
      <c r="P457">
        <v>226339.98</v>
      </c>
      <c r="Q457">
        <v>-579000</v>
      </c>
      <c r="R457">
        <v>-221210.63</v>
      </c>
      <c r="S457">
        <v>0</v>
      </c>
      <c r="T457" t="s">
        <v>497</v>
      </c>
    </row>
    <row r="458" spans="1:20" customHeight="1" ht="14.5">
      <c r="A458" s="178">
        <v>170</v>
      </c>
      <c r="B458" s="178" t="s">
        <v>423</v>
      </c>
      <c r="C458" s="178">
        <v>3086905.38</v>
      </c>
      <c r="D458">
        <v>3086905.38</v>
      </c>
      <c r="E458">
        <v>-47337.28</v>
      </c>
      <c r="F458">
        <v>1</v>
      </c>
      <c r="G458">
        <v>-47337.28</v>
      </c>
      <c r="H458">
        <v>-47337.28</v>
      </c>
      <c r="I458">
        <v>1</v>
      </c>
      <c r="J458">
        <v>-47337.28</v>
      </c>
      <c r="K458">
        <v>3115851</v>
      </c>
      <c r="L458">
        <v>3115851</v>
      </c>
      <c r="M458">
        <v>3134242.66</v>
      </c>
      <c r="N458">
        <v>3134242.66</v>
      </c>
      <c r="O458">
        <v>-28945.62</v>
      </c>
      <c r="P458">
        <v>-28945.62</v>
      </c>
      <c r="Q458">
        <v>4876719</v>
      </c>
      <c r="R458">
        <v>1469402.81</v>
      </c>
      <c r="S458">
        <v>0</v>
      </c>
      <c r="T458" t="s">
        <v>497</v>
      </c>
    </row>
    <row r="459" spans="1:20">
      <c r="A459" s="178">
        <v>180</v>
      </c>
      <c r="B459" s="178" t="s">
        <v>424</v>
      </c>
      <c r="C459" s="178">
        <v>649266</v>
      </c>
      <c r="D459">
        <v>649266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599366</v>
      </c>
      <c r="L459">
        <v>599366</v>
      </c>
      <c r="M459">
        <v>649266</v>
      </c>
      <c r="N459">
        <v>649266</v>
      </c>
      <c r="O459">
        <v>49900</v>
      </c>
      <c r="P459">
        <v>49900</v>
      </c>
      <c r="Q459">
        <v>965150</v>
      </c>
      <c r="R459">
        <v>0</v>
      </c>
      <c r="S459">
        <v>0</v>
      </c>
      <c r="T459" t="s">
        <v>497</v>
      </c>
    </row>
    <row r="460" spans="1:20">
      <c r="A460" s="178">
        <v>190</v>
      </c>
      <c r="B460" s="178" t="s">
        <v>425</v>
      </c>
      <c r="C460" s="178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497</v>
      </c>
    </row>
    <row r="461" spans="1:20" customHeight="1" ht="14.5">
      <c r="A461" s="178">
        <v>200</v>
      </c>
      <c r="B461" s="178" t="s">
        <v>426</v>
      </c>
      <c r="C461" s="178">
        <v>2437639.38</v>
      </c>
      <c r="D461">
        <v>2437639.38</v>
      </c>
      <c r="E461">
        <v>-47337.28</v>
      </c>
      <c r="F461">
        <v>1</v>
      </c>
      <c r="G461">
        <v>-47337.28</v>
      </c>
      <c r="H461">
        <v>-47337.28</v>
      </c>
      <c r="I461">
        <v>1</v>
      </c>
      <c r="J461">
        <v>-47337.28</v>
      </c>
      <c r="K461">
        <v>2516485</v>
      </c>
      <c r="L461">
        <v>2516485</v>
      </c>
      <c r="M461">
        <v>2484976.66</v>
      </c>
      <c r="N461">
        <v>2484976.66</v>
      </c>
      <c r="O461">
        <v>-78845.62</v>
      </c>
      <c r="P461">
        <v>-78845.62</v>
      </c>
      <c r="Q461">
        <v>3911569</v>
      </c>
      <c r="R461">
        <v>1469402.81</v>
      </c>
      <c r="S461">
        <v>0</v>
      </c>
      <c r="T461" t="s">
        <v>497</v>
      </c>
    </row>
    <row r="462" spans="1:20" customHeight="1" ht="14.5">
      <c r="A462" s="178">
        <v>210</v>
      </c>
      <c r="B462" s="178" t="s">
        <v>427</v>
      </c>
      <c r="C462" s="178">
        <v>2741121.03</v>
      </c>
      <c r="D462">
        <v>2741121.03</v>
      </c>
      <c r="E462">
        <v>-499132.54</v>
      </c>
      <c r="F462">
        <v>1</v>
      </c>
      <c r="G462">
        <v>-499132.54</v>
      </c>
      <c r="H462">
        <v>-499132.54</v>
      </c>
      <c r="I462">
        <v>1</v>
      </c>
      <c r="J462">
        <v>-499132.54</v>
      </c>
      <c r="K462">
        <v>2543323</v>
      </c>
      <c r="L462">
        <v>2543323</v>
      </c>
      <c r="M462">
        <v>3240253.57</v>
      </c>
      <c r="N462">
        <v>3240253.57</v>
      </c>
      <c r="O462">
        <v>197798.03</v>
      </c>
      <c r="P462">
        <v>197798.03</v>
      </c>
      <c r="Q462">
        <v>4304191</v>
      </c>
      <c r="R462">
        <v>1254421.85</v>
      </c>
      <c r="S462">
        <v>0</v>
      </c>
      <c r="T462" t="s">
        <v>497</v>
      </c>
    </row>
    <row r="463" spans="1:20" s="182" customFormat="1">
      <c r="A463" s="182" t="s">
        <v>455</v>
      </c>
      <c r="B463" s="182" t="s">
        <v>402</v>
      </c>
      <c r="C463" s="182" t="s">
        <v>509</v>
      </c>
      <c r="D463" s="182" t="s">
        <v>510</v>
      </c>
      <c r="E463" s="182" t="s">
        <v>403</v>
      </c>
      <c r="F463" s="182" t="s">
        <v>511</v>
      </c>
      <c r="G463" s="182" t="s">
        <v>512</v>
      </c>
      <c r="H463" s="182" t="s">
        <v>513</v>
      </c>
      <c r="I463" s="182" t="s">
        <v>514</v>
      </c>
      <c r="J463" s="182" t="s">
        <v>515</v>
      </c>
      <c r="K463" s="182" t="s">
        <v>437</v>
      </c>
      <c r="L463" s="182" t="s">
        <v>516</v>
      </c>
      <c r="M463" s="182" t="s">
        <v>530</v>
      </c>
      <c r="N463" s="182" t="s">
        <v>532</v>
      </c>
      <c r="O463" s="182" t="s">
        <v>533</v>
      </c>
      <c r="P463" s="182" t="s">
        <v>534</v>
      </c>
      <c r="Q463" s="182" t="s">
        <v>405</v>
      </c>
      <c r="R463" s="182"/>
      <c r="S463" s="182"/>
      <c r="T463" s="182"/>
    </row>
    <row r="464" spans="1:20" customHeight="1" ht="14.5">
      <c r="A464" s="178">
        <v>30</v>
      </c>
      <c r="B464" s="178" t="s">
        <v>456</v>
      </c>
      <c r="C464" s="178">
        <v>311300.1</v>
      </c>
      <c r="D464">
        <v>311300.1</v>
      </c>
      <c r="E464">
        <v>259765.83</v>
      </c>
      <c r="F464">
        <v>1</v>
      </c>
      <c r="G464">
        <v>259765.83</v>
      </c>
      <c r="H464">
        <v>259765.83</v>
      </c>
      <c r="I464">
        <v>1</v>
      </c>
      <c r="J464">
        <v>259765.83</v>
      </c>
      <c r="K464">
        <v>266588</v>
      </c>
      <c r="L464">
        <v>266588</v>
      </c>
      <c r="M464">
        <v>51534.27</v>
      </c>
      <c r="N464">
        <v>51534.27</v>
      </c>
      <c r="O464">
        <v>44712.1</v>
      </c>
      <c r="P464">
        <v>44712.1</v>
      </c>
      <c r="Q464" t="s">
        <v>497</v>
      </c>
      <c r="R464"/>
      <c r="S464"/>
      <c r="T464"/>
    </row>
    <row r="465" spans="1:20" customHeight="1" ht="14.5">
      <c r="A465" s="178">
        <v>40</v>
      </c>
      <c r="B465" s="178" t="s">
        <v>457</v>
      </c>
      <c r="C465" s="178">
        <v>837.12</v>
      </c>
      <c r="D465">
        <v>837.12</v>
      </c>
      <c r="E465">
        <v>859.62</v>
      </c>
      <c r="F465">
        <v>1</v>
      </c>
      <c r="G465">
        <v>859.62</v>
      </c>
      <c r="H465">
        <v>859.62</v>
      </c>
      <c r="I465">
        <v>1</v>
      </c>
      <c r="J465">
        <v>859.62</v>
      </c>
      <c r="K465">
        <v>0</v>
      </c>
      <c r="L465">
        <v>0</v>
      </c>
      <c r="M465">
        <v>-22.5</v>
      </c>
      <c r="N465">
        <v>-22.5</v>
      </c>
      <c r="O465">
        <v>837.12</v>
      </c>
      <c r="P465">
        <v>837.12</v>
      </c>
      <c r="Q465" t="s">
        <v>497</v>
      </c>
      <c r="R465"/>
      <c r="S465"/>
      <c r="T465"/>
    </row>
    <row r="466" spans="1:20">
      <c r="A466" s="178">
        <v>50</v>
      </c>
      <c r="B466" s="178" t="s">
        <v>458</v>
      </c>
      <c r="C466" s="178">
        <v>310462.98</v>
      </c>
      <c r="D466">
        <v>310462.98</v>
      </c>
      <c r="E466">
        <v>258906.21</v>
      </c>
      <c r="F466">
        <v>1</v>
      </c>
      <c r="G466">
        <v>258906.21</v>
      </c>
      <c r="H466">
        <v>258906.21</v>
      </c>
      <c r="I466">
        <v>1</v>
      </c>
      <c r="J466">
        <v>258906.21</v>
      </c>
      <c r="K466">
        <v>266588</v>
      </c>
      <c r="L466">
        <v>266588</v>
      </c>
      <c r="M466">
        <v>51556.77</v>
      </c>
      <c r="N466">
        <v>51556.77</v>
      </c>
      <c r="O466">
        <v>43874.98</v>
      </c>
      <c r="P466">
        <v>43874.98</v>
      </c>
      <c r="Q466" t="s">
        <v>497</v>
      </c>
      <c r="R466"/>
      <c r="S466"/>
      <c r="T466"/>
    </row>
    <row r="467" spans="1:20">
      <c r="A467" s="178">
        <v>60</v>
      </c>
      <c r="B467" s="178" t="s">
        <v>459</v>
      </c>
      <c r="C467" s="178">
        <v>100609.66</v>
      </c>
      <c r="D467">
        <v>100609.66</v>
      </c>
      <c r="E467">
        <v>83228.23</v>
      </c>
      <c r="F467">
        <v>1</v>
      </c>
      <c r="G467">
        <v>83228.23</v>
      </c>
      <c r="H467">
        <v>83228.23</v>
      </c>
      <c r="I467">
        <v>1</v>
      </c>
      <c r="J467">
        <v>83228.23</v>
      </c>
      <c r="K467">
        <v>87974</v>
      </c>
      <c r="L467">
        <v>87974</v>
      </c>
      <c r="M467">
        <v>17381.43</v>
      </c>
      <c r="N467">
        <v>17381.43</v>
      </c>
      <c r="O467">
        <v>12635.66</v>
      </c>
      <c r="P467">
        <v>12635.66</v>
      </c>
      <c r="Q467" t="s">
        <v>497</v>
      </c>
      <c r="R467"/>
      <c r="S467"/>
      <c r="T467"/>
    </row>
    <row r="468" spans="1:20">
      <c r="A468" s="178">
        <v>65</v>
      </c>
      <c r="B468" s="178" t="s">
        <v>460</v>
      </c>
      <c r="C468" s="17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497</v>
      </c>
      <c r="R468"/>
      <c r="S468"/>
      <c r="T468"/>
    </row>
    <row r="469" spans="1:20">
      <c r="A469" s="178">
        <v>70</v>
      </c>
      <c r="B469" s="178" t="s">
        <v>461</v>
      </c>
      <c r="C469" s="178">
        <v>209853.32</v>
      </c>
      <c r="D469">
        <v>209853.32</v>
      </c>
      <c r="E469">
        <v>175677.98</v>
      </c>
      <c r="F469">
        <v>1</v>
      </c>
      <c r="G469">
        <v>175677.98</v>
      </c>
      <c r="H469">
        <v>175677.98</v>
      </c>
      <c r="I469">
        <v>1</v>
      </c>
      <c r="J469">
        <v>175677.98</v>
      </c>
      <c r="K469">
        <v>178614</v>
      </c>
      <c r="L469">
        <v>178614</v>
      </c>
      <c r="M469">
        <v>34175.34</v>
      </c>
      <c r="N469">
        <v>34175.34</v>
      </c>
      <c r="O469">
        <v>31239.32</v>
      </c>
      <c r="P469">
        <v>31239.32</v>
      </c>
      <c r="Q469" t="s">
        <v>497</v>
      </c>
      <c r="R469"/>
      <c r="S469"/>
      <c r="T469"/>
    </row>
    <row r="470" spans="1:20" customHeight="1" ht="14.5">
      <c r="A470" s="178">
        <v>80</v>
      </c>
      <c r="B470" s="178" t="s">
        <v>462</v>
      </c>
      <c r="C470" s="178">
        <v>186797.88</v>
      </c>
      <c r="D470">
        <v>186797.88</v>
      </c>
      <c r="E470">
        <v>172325.45</v>
      </c>
      <c r="F470">
        <v>1</v>
      </c>
      <c r="G470">
        <v>172325.45</v>
      </c>
      <c r="H470">
        <v>172325.45</v>
      </c>
      <c r="I470">
        <v>1</v>
      </c>
      <c r="J470">
        <v>172325.45</v>
      </c>
      <c r="K470">
        <v>175099</v>
      </c>
      <c r="L470">
        <v>175099</v>
      </c>
      <c r="M470">
        <v>14472.43</v>
      </c>
      <c r="N470">
        <v>14472.43</v>
      </c>
      <c r="O470">
        <v>11698.88</v>
      </c>
      <c r="P470">
        <v>11698.88</v>
      </c>
      <c r="Q470" t="s">
        <v>497</v>
      </c>
      <c r="R470"/>
      <c r="S470"/>
      <c r="T470"/>
    </row>
    <row r="471" spans="1:20" customHeight="1" ht="14.5">
      <c r="A471" s="178">
        <v>90</v>
      </c>
      <c r="B471" s="178" t="s">
        <v>463</v>
      </c>
      <c r="C471" s="178">
        <v>7511.81</v>
      </c>
      <c r="D471">
        <v>7511.81</v>
      </c>
      <c r="E471">
        <v>12483.5</v>
      </c>
      <c r="F471">
        <v>1</v>
      </c>
      <c r="G471">
        <v>12483.5</v>
      </c>
      <c r="H471">
        <v>12483.5</v>
      </c>
      <c r="I471">
        <v>1</v>
      </c>
      <c r="J471">
        <v>12483.5</v>
      </c>
      <c r="K471">
        <v>14013</v>
      </c>
      <c r="L471">
        <v>14013</v>
      </c>
      <c r="M471">
        <v>-4971.69</v>
      </c>
      <c r="N471">
        <v>-4971.69</v>
      </c>
      <c r="O471">
        <v>-6501.19</v>
      </c>
      <c r="P471">
        <v>-6501.19</v>
      </c>
      <c r="Q471" t="s">
        <v>497</v>
      </c>
      <c r="R471"/>
      <c r="S471"/>
      <c r="T471"/>
    </row>
    <row r="472" spans="1:20" customHeight="1" ht="14.5">
      <c r="A472" s="178">
        <v>100</v>
      </c>
      <c r="B472" s="178" t="s">
        <v>464</v>
      </c>
      <c r="C472" s="178">
        <v>1124.99</v>
      </c>
      <c r="D472">
        <v>1124.99</v>
      </c>
      <c r="E472">
        <v>1107.04</v>
      </c>
      <c r="F472">
        <v>1</v>
      </c>
      <c r="G472">
        <v>1107.04</v>
      </c>
      <c r="H472">
        <v>1107.04</v>
      </c>
      <c r="I472">
        <v>1</v>
      </c>
      <c r="J472">
        <v>1107.04</v>
      </c>
      <c r="K472">
        <v>1107</v>
      </c>
      <c r="L472">
        <v>1107</v>
      </c>
      <c r="M472">
        <v>17.95</v>
      </c>
      <c r="N472">
        <v>17.95</v>
      </c>
      <c r="O472">
        <v>17.99</v>
      </c>
      <c r="P472">
        <v>17.99</v>
      </c>
      <c r="Q472" t="s">
        <v>497</v>
      </c>
      <c r="R472"/>
      <c r="S472"/>
      <c r="T472"/>
    </row>
    <row r="473" spans="1:20" customHeight="1" ht="14.5">
      <c r="A473" s="178">
        <v>110</v>
      </c>
      <c r="B473" s="178" t="s">
        <v>465</v>
      </c>
      <c r="C473" s="178">
        <v>195434.68</v>
      </c>
      <c r="D473">
        <v>195434.68</v>
      </c>
      <c r="E473">
        <v>185915.99</v>
      </c>
      <c r="F473">
        <v>1</v>
      </c>
      <c r="G473">
        <v>185915.99</v>
      </c>
      <c r="H473">
        <v>185915.99</v>
      </c>
      <c r="I473">
        <v>1</v>
      </c>
      <c r="J473">
        <v>185915.99</v>
      </c>
      <c r="K473">
        <v>190219</v>
      </c>
      <c r="L473">
        <v>190219</v>
      </c>
      <c r="M473">
        <v>9518.69</v>
      </c>
      <c r="N473">
        <v>9518.69</v>
      </c>
      <c r="O473">
        <v>5215.68</v>
      </c>
      <c r="P473">
        <v>5215.68</v>
      </c>
      <c r="Q473" t="s">
        <v>497</v>
      </c>
      <c r="R473"/>
      <c r="S473"/>
      <c r="T473"/>
    </row>
    <row r="474" spans="1:20" customHeight="1" ht="14.5">
      <c r="A474" s="178">
        <v>120</v>
      </c>
      <c r="B474" s="178" t="s">
        <v>466</v>
      </c>
      <c r="C474" s="178">
        <v>14418.64</v>
      </c>
      <c r="D474">
        <v>14418.64</v>
      </c>
      <c r="E474">
        <v>-10238.01</v>
      </c>
      <c r="F474">
        <v>1</v>
      </c>
      <c r="G474">
        <v>-10238.01</v>
      </c>
      <c r="H474">
        <v>-10238.01</v>
      </c>
      <c r="I474">
        <v>1</v>
      </c>
      <c r="J474">
        <v>-10238.01</v>
      </c>
      <c r="K474">
        <v>-11605</v>
      </c>
      <c r="L474">
        <v>-11605</v>
      </c>
      <c r="M474">
        <v>24656.65</v>
      </c>
      <c r="N474">
        <v>24656.65</v>
      </c>
      <c r="O474">
        <v>26023.64</v>
      </c>
      <c r="P474">
        <v>26023.64</v>
      </c>
      <c r="Q474" t="s">
        <v>497</v>
      </c>
      <c r="R474"/>
      <c r="S474"/>
      <c r="T474"/>
    </row>
    <row r="475" spans="1:20" customHeight="1" ht="14.5">
      <c r="A475" s="178">
        <v>130</v>
      </c>
      <c r="B475" s="178"/>
      <c r="C475" s="178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497</v>
      </c>
      <c r="R475"/>
      <c r="S475"/>
      <c r="T475"/>
    </row>
    <row r="476" spans="1:20" customHeight="1" ht="14.5">
      <c r="A476" s="178">
        <v>135</v>
      </c>
      <c r="B476" s="178" t="s">
        <v>467</v>
      </c>
      <c r="C476" s="178">
        <v>-1128.45</v>
      </c>
      <c r="D476">
        <v>-1128.45</v>
      </c>
      <c r="E476">
        <v>-3773.65</v>
      </c>
      <c r="F476">
        <v>1</v>
      </c>
      <c r="G476">
        <v>-3773.65</v>
      </c>
      <c r="H476">
        <v>-3773.65</v>
      </c>
      <c r="I476">
        <v>1</v>
      </c>
      <c r="J476">
        <v>-3773.65</v>
      </c>
      <c r="K476">
        <v>-2786</v>
      </c>
      <c r="L476">
        <v>-2786</v>
      </c>
      <c r="M476">
        <v>2645.2</v>
      </c>
      <c r="N476">
        <v>2645.2</v>
      </c>
      <c r="O476">
        <v>1657.55</v>
      </c>
      <c r="P476">
        <v>1657.55</v>
      </c>
      <c r="Q476" t="s">
        <v>497</v>
      </c>
      <c r="R476"/>
      <c r="S476"/>
      <c r="T476"/>
    </row>
    <row r="477" spans="1:20" customHeight="1" ht="14.5">
      <c r="A477" s="178">
        <v>140</v>
      </c>
      <c r="B477" s="178" t="s">
        <v>468</v>
      </c>
      <c r="C477" s="178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497</v>
      </c>
      <c r="R477"/>
      <c r="S477"/>
      <c r="T477"/>
    </row>
    <row r="478" spans="1:20" customHeight="1" ht="14.5">
      <c r="A478" s="178">
        <v>150</v>
      </c>
      <c r="B478" s="178" t="s">
        <v>469</v>
      </c>
      <c r="C478" s="1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497</v>
      </c>
      <c r="R478"/>
      <c r="S478"/>
      <c r="T478"/>
    </row>
    <row r="479" spans="1:20" customHeight="1" ht="14.5">
      <c r="A479" s="178">
        <v>155</v>
      </c>
      <c r="B479" s="178"/>
      <c r="C479" s="178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497</v>
      </c>
      <c r="R479"/>
      <c r="S479"/>
      <c r="T479"/>
    </row>
    <row r="480" spans="1:20" customHeight="1" ht="14.5">
      <c r="A480" s="178">
        <v>160</v>
      </c>
      <c r="B480" s="178" t="s">
        <v>470</v>
      </c>
      <c r="C480" s="178">
        <v>-1128.45</v>
      </c>
      <c r="D480">
        <v>-1128.45</v>
      </c>
      <c r="E480">
        <v>-3773.65</v>
      </c>
      <c r="F480">
        <v>1</v>
      </c>
      <c r="G480">
        <v>-3773.65</v>
      </c>
      <c r="H480">
        <v>-3773.65</v>
      </c>
      <c r="I480">
        <v>1</v>
      </c>
      <c r="J480">
        <v>-3773.65</v>
      </c>
      <c r="K480">
        <v>-2786</v>
      </c>
      <c r="L480">
        <v>-2786</v>
      </c>
      <c r="M480">
        <v>2645.2</v>
      </c>
      <c r="N480">
        <v>2645.2</v>
      </c>
      <c r="O480">
        <v>1657.55</v>
      </c>
      <c r="P480">
        <v>1657.55</v>
      </c>
      <c r="Q480" t="s">
        <v>497</v>
      </c>
      <c r="R480"/>
      <c r="S480"/>
      <c r="T480"/>
    </row>
    <row r="481" spans="1:20" customHeight="1" ht="14.5">
      <c r="A481" s="178">
        <v>170</v>
      </c>
      <c r="B481" s="178" t="s">
        <v>471</v>
      </c>
      <c r="C481" s="178">
        <v>15547.09</v>
      </c>
      <c r="D481">
        <v>15547.09</v>
      </c>
      <c r="E481">
        <v>-6464.36</v>
      </c>
      <c r="F481">
        <v>1</v>
      </c>
      <c r="G481">
        <v>-6464.36</v>
      </c>
      <c r="H481">
        <v>-6464.36</v>
      </c>
      <c r="I481">
        <v>1</v>
      </c>
      <c r="J481">
        <v>-6464.36</v>
      </c>
      <c r="K481">
        <v>-8819</v>
      </c>
      <c r="L481">
        <v>-8819</v>
      </c>
      <c r="M481">
        <v>22011.45</v>
      </c>
      <c r="N481">
        <v>22011.45</v>
      </c>
      <c r="O481">
        <v>24366.09</v>
      </c>
      <c r="P481">
        <v>24366.09</v>
      </c>
      <c r="Q481" t="s">
        <v>497</v>
      </c>
      <c r="R481"/>
      <c r="S481"/>
      <c r="T481"/>
    </row>
    <row r="482" spans="1:20">
      <c r="A482" s="178">
        <v>180</v>
      </c>
      <c r="B482" s="178" t="s">
        <v>472</v>
      </c>
      <c r="C482" s="178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497</v>
      </c>
      <c r="R482"/>
      <c r="S482"/>
      <c r="T482"/>
    </row>
    <row r="483" spans="1:20">
      <c r="A483" s="178">
        <v>190</v>
      </c>
      <c r="B483" s="178" t="s">
        <v>473</v>
      </c>
      <c r="C483" s="178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497</v>
      </c>
      <c r="R483"/>
      <c r="S483"/>
      <c r="T483"/>
    </row>
    <row r="484" spans="1:20" customHeight="1" ht="14.5">
      <c r="A484" s="178">
        <v>200</v>
      </c>
      <c r="B484" s="178" t="s">
        <v>474</v>
      </c>
      <c r="C484" s="178">
        <v>15547.09</v>
      </c>
      <c r="D484">
        <v>15547.09</v>
      </c>
      <c r="E484">
        <v>-6464.36</v>
      </c>
      <c r="F484">
        <v>1</v>
      </c>
      <c r="G484">
        <v>-6464.36</v>
      </c>
      <c r="H484">
        <v>-6464.36</v>
      </c>
      <c r="I484">
        <v>1</v>
      </c>
      <c r="J484">
        <v>-6464.36</v>
      </c>
      <c r="K484">
        <v>-8819</v>
      </c>
      <c r="L484">
        <v>-8819</v>
      </c>
      <c r="M484">
        <v>22011.45</v>
      </c>
      <c r="N484">
        <v>22011.45</v>
      </c>
      <c r="O484">
        <v>24366.09</v>
      </c>
      <c r="P484">
        <v>24366.09</v>
      </c>
      <c r="Q484" t="s">
        <v>497</v>
      </c>
      <c r="R484"/>
      <c r="S484"/>
      <c r="T484"/>
    </row>
    <row r="485" spans="1:20" customHeight="1" ht="14.5">
      <c r="A485" s="178">
        <v>210</v>
      </c>
      <c r="B485" s="178" t="s">
        <v>475</v>
      </c>
      <c r="C485" s="178">
        <v>15543.63</v>
      </c>
      <c r="D485">
        <v>15543.63</v>
      </c>
      <c r="E485">
        <v>-9130.97</v>
      </c>
      <c r="F485">
        <v>1</v>
      </c>
      <c r="G485">
        <v>-9130.97</v>
      </c>
      <c r="H485">
        <v>-9130.97</v>
      </c>
      <c r="I485">
        <v>1</v>
      </c>
      <c r="J485">
        <v>-9130.97</v>
      </c>
      <c r="K485">
        <v>-10498</v>
      </c>
      <c r="L485">
        <v>-10498</v>
      </c>
      <c r="M485">
        <v>24674.6</v>
      </c>
      <c r="N485">
        <v>24674.6</v>
      </c>
      <c r="O485">
        <v>26041.63</v>
      </c>
      <c r="P485">
        <v>26041.63</v>
      </c>
      <c r="Q485" t="s">
        <v>497</v>
      </c>
      <c r="R485"/>
      <c r="S485"/>
      <c r="T485"/>
    </row>
    <row r="486" spans="1:20" s="182" customFormat="1">
      <c r="A486" s="182" t="s">
        <v>476</v>
      </c>
      <c r="B486" s="182" t="s">
        <v>402</v>
      </c>
      <c r="C486" s="182" t="s">
        <v>509</v>
      </c>
      <c r="D486" s="182" t="s">
        <v>510</v>
      </c>
      <c r="E486" s="182" t="s">
        <v>403</v>
      </c>
      <c r="F486" s="182" t="s">
        <v>511</v>
      </c>
      <c r="G486" s="182" t="s">
        <v>512</v>
      </c>
      <c r="H486" s="182" t="s">
        <v>513</v>
      </c>
      <c r="I486" s="182" t="s">
        <v>514</v>
      </c>
      <c r="J486" s="182" t="s">
        <v>515</v>
      </c>
      <c r="K486" s="182" t="s">
        <v>437</v>
      </c>
      <c r="L486" s="182" t="s">
        <v>516</v>
      </c>
      <c r="M486" s="182" t="s">
        <v>530</v>
      </c>
      <c r="N486" s="182" t="s">
        <v>532</v>
      </c>
      <c r="O486" s="182" t="s">
        <v>533</v>
      </c>
      <c r="P486" s="182" t="s">
        <v>534</v>
      </c>
      <c r="Q486" s="182" t="s">
        <v>405</v>
      </c>
      <c r="R486" s="182"/>
      <c r="S486" s="182"/>
      <c r="T486" s="182"/>
    </row>
    <row r="487" spans="1:20" customHeight="1" ht="14.5">
      <c r="A487" s="178">
        <v>30</v>
      </c>
      <c r="B487" s="178" t="s">
        <v>456</v>
      </c>
      <c r="C487" s="178">
        <v>605912.84</v>
      </c>
      <c r="D487">
        <v>605912.84</v>
      </c>
      <c r="E487">
        <v>584181.14</v>
      </c>
      <c r="F487">
        <v>1</v>
      </c>
      <c r="G487">
        <v>584181.14</v>
      </c>
      <c r="H487">
        <v>584181.14</v>
      </c>
      <c r="I487">
        <v>1</v>
      </c>
      <c r="J487">
        <v>584181.14</v>
      </c>
      <c r="K487">
        <v>634782</v>
      </c>
      <c r="L487">
        <v>634782</v>
      </c>
      <c r="M487">
        <v>21731.7</v>
      </c>
      <c r="N487">
        <v>21731.7</v>
      </c>
      <c r="O487">
        <v>-28869.16</v>
      </c>
      <c r="P487">
        <v>-28869.16</v>
      </c>
      <c r="Q487" t="s">
        <v>497</v>
      </c>
      <c r="R487"/>
      <c r="S487"/>
      <c r="T487"/>
    </row>
    <row r="488" spans="1:20" customHeight="1" ht="14.5">
      <c r="A488" s="178">
        <v>40</v>
      </c>
      <c r="B488" s="178" t="s">
        <v>457</v>
      </c>
      <c r="C488" s="178">
        <v>589.31</v>
      </c>
      <c r="D488">
        <v>589.31</v>
      </c>
      <c r="E488">
        <v>1372.83</v>
      </c>
      <c r="F488">
        <v>1</v>
      </c>
      <c r="G488">
        <v>1372.83</v>
      </c>
      <c r="H488">
        <v>1372.83</v>
      </c>
      <c r="I488">
        <v>1</v>
      </c>
      <c r="J488">
        <v>1372.83</v>
      </c>
      <c r="K488">
        <v>0</v>
      </c>
      <c r="L488">
        <v>0</v>
      </c>
      <c r="M488">
        <v>-783.52</v>
      </c>
      <c r="N488">
        <v>-783.52</v>
      </c>
      <c r="O488">
        <v>589.31</v>
      </c>
      <c r="P488">
        <v>589.31</v>
      </c>
      <c r="Q488" t="s">
        <v>497</v>
      </c>
      <c r="R488"/>
      <c r="S488"/>
      <c r="T488"/>
    </row>
    <row r="489" spans="1:20">
      <c r="A489" s="178">
        <v>50</v>
      </c>
      <c r="B489" s="178" t="s">
        <v>458</v>
      </c>
      <c r="C489" s="178">
        <v>605323.53</v>
      </c>
      <c r="D489">
        <v>605323.53</v>
      </c>
      <c r="E489">
        <v>582808.31</v>
      </c>
      <c r="F489">
        <v>1</v>
      </c>
      <c r="G489">
        <v>582808.31</v>
      </c>
      <c r="H489">
        <v>582808.31</v>
      </c>
      <c r="I489">
        <v>1</v>
      </c>
      <c r="J489">
        <v>582808.31</v>
      </c>
      <c r="K489">
        <v>634782</v>
      </c>
      <c r="L489">
        <v>634782</v>
      </c>
      <c r="M489">
        <v>22515.22</v>
      </c>
      <c r="N489">
        <v>22515.22</v>
      </c>
      <c r="O489">
        <v>-29458.47</v>
      </c>
      <c r="P489">
        <v>-29458.47</v>
      </c>
      <c r="Q489" t="s">
        <v>497</v>
      </c>
      <c r="R489"/>
      <c r="S489"/>
      <c r="T489"/>
    </row>
    <row r="490" spans="1:20">
      <c r="A490" s="178">
        <v>60</v>
      </c>
      <c r="B490" s="178" t="s">
        <v>459</v>
      </c>
      <c r="C490" s="178">
        <v>174999.67</v>
      </c>
      <c r="D490">
        <v>174999.67</v>
      </c>
      <c r="E490">
        <v>187265.73</v>
      </c>
      <c r="F490">
        <v>1</v>
      </c>
      <c r="G490">
        <v>187265.73</v>
      </c>
      <c r="H490">
        <v>187265.73</v>
      </c>
      <c r="I490">
        <v>1</v>
      </c>
      <c r="J490">
        <v>187265.73</v>
      </c>
      <c r="K490">
        <v>193608</v>
      </c>
      <c r="L490">
        <v>193608</v>
      </c>
      <c r="M490">
        <v>-12266.06</v>
      </c>
      <c r="N490">
        <v>-12266.06</v>
      </c>
      <c r="O490">
        <v>-18608.33</v>
      </c>
      <c r="P490">
        <v>-18608.33</v>
      </c>
      <c r="Q490" t="s">
        <v>497</v>
      </c>
      <c r="R490"/>
      <c r="S490"/>
      <c r="T490"/>
    </row>
    <row r="491" spans="1:20">
      <c r="A491" s="178">
        <v>65</v>
      </c>
      <c r="B491" s="178" t="s">
        <v>460</v>
      </c>
      <c r="C491" s="178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497</v>
      </c>
      <c r="R491"/>
      <c r="S491"/>
      <c r="T491"/>
    </row>
    <row r="492" spans="1:20">
      <c r="A492" s="178">
        <v>70</v>
      </c>
      <c r="B492" s="178" t="s">
        <v>461</v>
      </c>
      <c r="C492" s="178">
        <v>430323.86</v>
      </c>
      <c r="D492">
        <v>430323.86</v>
      </c>
      <c r="E492">
        <v>395542.58</v>
      </c>
      <c r="F492">
        <v>1</v>
      </c>
      <c r="G492">
        <v>395542.58</v>
      </c>
      <c r="H492">
        <v>395542.58</v>
      </c>
      <c r="I492">
        <v>1</v>
      </c>
      <c r="J492">
        <v>395542.58</v>
      </c>
      <c r="K492">
        <v>441174</v>
      </c>
      <c r="L492">
        <v>441174</v>
      </c>
      <c r="M492">
        <v>34781.28</v>
      </c>
      <c r="N492">
        <v>34781.28</v>
      </c>
      <c r="O492">
        <v>-10850.14</v>
      </c>
      <c r="P492">
        <v>-10850.14</v>
      </c>
      <c r="Q492" t="s">
        <v>497</v>
      </c>
      <c r="R492"/>
      <c r="S492"/>
      <c r="T492"/>
    </row>
    <row r="493" spans="1:20" customHeight="1" ht="14.5">
      <c r="A493" s="178">
        <v>80</v>
      </c>
      <c r="B493" s="178" t="s">
        <v>462</v>
      </c>
      <c r="C493" s="178">
        <v>393129.98</v>
      </c>
      <c r="D493">
        <v>393129.98</v>
      </c>
      <c r="E493">
        <v>395614.12</v>
      </c>
      <c r="F493">
        <v>1</v>
      </c>
      <c r="G493">
        <v>395614.12</v>
      </c>
      <c r="H493">
        <v>395614.12</v>
      </c>
      <c r="I493">
        <v>1</v>
      </c>
      <c r="J493">
        <v>395614.12</v>
      </c>
      <c r="K493">
        <v>425625</v>
      </c>
      <c r="L493">
        <v>425625</v>
      </c>
      <c r="M493">
        <v>-2484.14</v>
      </c>
      <c r="N493">
        <v>-2484.14</v>
      </c>
      <c r="O493">
        <v>-32495.02</v>
      </c>
      <c r="P493">
        <v>-32495.02</v>
      </c>
      <c r="Q493" t="s">
        <v>497</v>
      </c>
      <c r="R493"/>
      <c r="S493"/>
      <c r="T493"/>
    </row>
    <row r="494" spans="1:20" customHeight="1" ht="14.5">
      <c r="A494" s="178">
        <v>90</v>
      </c>
      <c r="B494" s="178" t="s">
        <v>463</v>
      </c>
      <c r="C494" s="178">
        <v>12149.26</v>
      </c>
      <c r="D494">
        <v>12149.26</v>
      </c>
      <c r="E494">
        <v>18666.94</v>
      </c>
      <c r="F494">
        <v>1</v>
      </c>
      <c r="G494">
        <v>18666.94</v>
      </c>
      <c r="H494">
        <v>18666.94</v>
      </c>
      <c r="I494">
        <v>1</v>
      </c>
      <c r="J494">
        <v>18666.94</v>
      </c>
      <c r="K494">
        <v>21088</v>
      </c>
      <c r="L494">
        <v>21088</v>
      </c>
      <c r="M494">
        <v>-6517.68</v>
      </c>
      <c r="N494">
        <v>-6517.68</v>
      </c>
      <c r="O494">
        <v>-8938.74</v>
      </c>
      <c r="P494">
        <v>-8938.74</v>
      </c>
      <c r="Q494" t="s">
        <v>497</v>
      </c>
      <c r="R494"/>
      <c r="S494"/>
      <c r="T494"/>
    </row>
    <row r="495" spans="1:20" customHeight="1" ht="14.5">
      <c r="A495" s="178">
        <v>100</v>
      </c>
      <c r="B495" s="178" t="s">
        <v>464</v>
      </c>
      <c r="C495" s="178">
        <v>6063.4</v>
      </c>
      <c r="D495">
        <v>6063.4</v>
      </c>
      <c r="E495">
        <v>4079.95</v>
      </c>
      <c r="F495">
        <v>1</v>
      </c>
      <c r="G495">
        <v>4079.95</v>
      </c>
      <c r="H495">
        <v>4079.95</v>
      </c>
      <c r="I495">
        <v>1</v>
      </c>
      <c r="J495">
        <v>4079.95</v>
      </c>
      <c r="K495">
        <v>4080</v>
      </c>
      <c r="L495">
        <v>4080</v>
      </c>
      <c r="M495">
        <v>1983.45</v>
      </c>
      <c r="N495">
        <v>1983.45</v>
      </c>
      <c r="O495">
        <v>1983.4</v>
      </c>
      <c r="P495">
        <v>1983.4</v>
      </c>
      <c r="Q495" t="s">
        <v>497</v>
      </c>
      <c r="R495"/>
      <c r="S495"/>
      <c r="T495"/>
    </row>
    <row r="496" spans="1:20" customHeight="1" ht="14.5">
      <c r="A496" s="178">
        <v>110</v>
      </c>
      <c r="B496" s="178" t="s">
        <v>465</v>
      </c>
      <c r="C496" s="178">
        <v>411342.64</v>
      </c>
      <c r="D496">
        <v>411342.64</v>
      </c>
      <c r="E496">
        <v>418361.01</v>
      </c>
      <c r="F496">
        <v>1</v>
      </c>
      <c r="G496">
        <v>418361.01</v>
      </c>
      <c r="H496">
        <v>418361.01</v>
      </c>
      <c r="I496">
        <v>1</v>
      </c>
      <c r="J496">
        <v>418361.01</v>
      </c>
      <c r="K496">
        <v>450793</v>
      </c>
      <c r="L496">
        <v>450793</v>
      </c>
      <c r="M496">
        <v>-7018.37</v>
      </c>
      <c r="N496">
        <v>-7018.37</v>
      </c>
      <c r="O496">
        <v>-39450.36</v>
      </c>
      <c r="P496">
        <v>-39450.36</v>
      </c>
      <c r="Q496" t="s">
        <v>497</v>
      </c>
      <c r="R496"/>
      <c r="S496"/>
      <c r="T496"/>
    </row>
    <row r="497" spans="1:20" customHeight="1" ht="14.5">
      <c r="A497" s="178">
        <v>120</v>
      </c>
      <c r="B497" s="178" t="s">
        <v>466</v>
      </c>
      <c r="C497" s="178">
        <v>18981.22</v>
      </c>
      <c r="D497">
        <v>18981.22</v>
      </c>
      <c r="E497">
        <v>-22818.43</v>
      </c>
      <c r="F497">
        <v>1</v>
      </c>
      <c r="G497">
        <v>-22818.43</v>
      </c>
      <c r="H497">
        <v>-22818.43</v>
      </c>
      <c r="I497">
        <v>1</v>
      </c>
      <c r="J497">
        <v>-22818.43</v>
      </c>
      <c r="K497">
        <v>-9619</v>
      </c>
      <c r="L497">
        <v>-9619</v>
      </c>
      <c r="M497">
        <v>41799.65</v>
      </c>
      <c r="N497">
        <v>41799.65</v>
      </c>
      <c r="O497">
        <v>28600.22</v>
      </c>
      <c r="P497">
        <v>28600.22</v>
      </c>
      <c r="Q497" t="s">
        <v>497</v>
      </c>
      <c r="R497"/>
      <c r="S497"/>
      <c r="T497"/>
    </row>
    <row r="498" spans="1:20" customHeight="1" ht="14.5">
      <c r="A498" s="178">
        <v>130</v>
      </c>
      <c r="B498" s="178"/>
      <c r="C498" s="17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497</v>
      </c>
      <c r="R498"/>
      <c r="S498"/>
      <c r="T498"/>
    </row>
    <row r="499" spans="1:20" customHeight="1" ht="14.5">
      <c r="A499" s="178">
        <v>135</v>
      </c>
      <c r="B499" s="178" t="s">
        <v>467</v>
      </c>
      <c r="C499" s="178">
        <v>-4149.3</v>
      </c>
      <c r="D499">
        <v>-4149.3</v>
      </c>
      <c r="E499">
        <v>-3015.79</v>
      </c>
      <c r="F499">
        <v>1</v>
      </c>
      <c r="G499">
        <v>-3015.79</v>
      </c>
      <c r="H499">
        <v>-3015.79</v>
      </c>
      <c r="I499">
        <v>1</v>
      </c>
      <c r="J499">
        <v>-3015.79</v>
      </c>
      <c r="K499">
        <v>-4464</v>
      </c>
      <c r="L499">
        <v>-4464</v>
      </c>
      <c r="M499">
        <v>-1133.51</v>
      </c>
      <c r="N499">
        <v>-1133.51</v>
      </c>
      <c r="O499">
        <v>314.7</v>
      </c>
      <c r="P499">
        <v>314.7</v>
      </c>
      <c r="Q499" t="s">
        <v>497</v>
      </c>
      <c r="R499"/>
      <c r="S499"/>
      <c r="T499"/>
    </row>
    <row r="500" spans="1:20" customHeight="1" ht="14.5">
      <c r="A500" s="178">
        <v>140</v>
      </c>
      <c r="B500" s="178" t="s">
        <v>468</v>
      </c>
      <c r="C500" s="178">
        <v>0</v>
      </c>
      <c r="D500">
        <v>0</v>
      </c>
      <c r="E500">
        <v>8532.5</v>
      </c>
      <c r="F500">
        <v>1</v>
      </c>
      <c r="G500">
        <v>8532.5</v>
      </c>
      <c r="H500">
        <v>8532.5</v>
      </c>
      <c r="I500">
        <v>1</v>
      </c>
      <c r="J500">
        <v>8532.5</v>
      </c>
      <c r="K500">
        <v>0</v>
      </c>
      <c r="L500">
        <v>0</v>
      </c>
      <c r="M500">
        <v>-8532.5</v>
      </c>
      <c r="N500">
        <v>-8532.5</v>
      </c>
      <c r="O500">
        <v>0</v>
      </c>
      <c r="P500">
        <v>0</v>
      </c>
      <c r="Q500" t="s">
        <v>497</v>
      </c>
      <c r="R500"/>
      <c r="S500"/>
      <c r="T500"/>
    </row>
    <row r="501" spans="1:20" customHeight="1" ht="14.5">
      <c r="A501" s="178">
        <v>150</v>
      </c>
      <c r="B501" s="178" t="s">
        <v>469</v>
      </c>
      <c r="C501" s="178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497</v>
      </c>
      <c r="R501"/>
      <c r="S501"/>
      <c r="T501"/>
    </row>
    <row r="502" spans="1:20" customHeight="1" ht="14.5">
      <c r="A502" s="178">
        <v>155</v>
      </c>
      <c r="B502" s="178"/>
      <c r="C502" s="178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497</v>
      </c>
      <c r="R502"/>
      <c r="S502"/>
      <c r="T502"/>
    </row>
    <row r="503" spans="1:20" customHeight="1" ht="14.5">
      <c r="A503" s="178">
        <v>160</v>
      </c>
      <c r="B503" s="178" t="s">
        <v>470</v>
      </c>
      <c r="C503" s="178">
        <v>-4149.3</v>
      </c>
      <c r="D503">
        <v>-4149.3</v>
      </c>
      <c r="E503">
        <v>5516.71</v>
      </c>
      <c r="F503">
        <v>1</v>
      </c>
      <c r="G503">
        <v>5516.71</v>
      </c>
      <c r="H503">
        <v>5516.71</v>
      </c>
      <c r="I503">
        <v>1</v>
      </c>
      <c r="J503">
        <v>5516.71</v>
      </c>
      <c r="K503">
        <v>-4464</v>
      </c>
      <c r="L503">
        <v>-4464</v>
      </c>
      <c r="M503">
        <v>-9666.01</v>
      </c>
      <c r="N503">
        <v>-9666.01</v>
      </c>
      <c r="O503">
        <v>314.7</v>
      </c>
      <c r="P503">
        <v>314.7</v>
      </c>
      <c r="Q503" t="s">
        <v>497</v>
      </c>
      <c r="R503"/>
      <c r="S503"/>
      <c r="T503"/>
    </row>
    <row r="504" spans="1:20" customHeight="1" ht="14.5">
      <c r="A504" s="178">
        <v>170</v>
      </c>
      <c r="B504" s="178" t="s">
        <v>477</v>
      </c>
      <c r="C504" s="178">
        <v>23130.52</v>
      </c>
      <c r="D504">
        <v>23130.52</v>
      </c>
      <c r="E504">
        <v>-28335.14</v>
      </c>
      <c r="F504">
        <v>1</v>
      </c>
      <c r="G504">
        <v>-28335.14</v>
      </c>
      <c r="H504">
        <v>-28335.14</v>
      </c>
      <c r="I504">
        <v>1</v>
      </c>
      <c r="J504">
        <v>-28335.14</v>
      </c>
      <c r="K504">
        <v>-5155</v>
      </c>
      <c r="L504">
        <v>-5155</v>
      </c>
      <c r="M504">
        <v>51465.66</v>
      </c>
      <c r="N504">
        <v>51465.66</v>
      </c>
      <c r="O504">
        <v>28285.52</v>
      </c>
      <c r="P504">
        <v>28285.52</v>
      </c>
      <c r="Q504" t="s">
        <v>497</v>
      </c>
      <c r="R504"/>
      <c r="S504"/>
      <c r="T504"/>
    </row>
    <row r="505" spans="1:20">
      <c r="A505" s="178">
        <v>180</v>
      </c>
      <c r="B505" s="178" t="s">
        <v>472</v>
      </c>
      <c r="C505" s="178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497</v>
      </c>
      <c r="R505"/>
      <c r="S505"/>
      <c r="T505"/>
    </row>
    <row r="506" spans="1:20">
      <c r="A506" s="178">
        <v>190</v>
      </c>
      <c r="B506" s="178" t="s">
        <v>473</v>
      </c>
      <c r="C506" s="178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497</v>
      </c>
      <c r="R506"/>
      <c r="S506"/>
      <c r="T506"/>
    </row>
    <row r="507" spans="1:20" customHeight="1" ht="14.5">
      <c r="A507" s="178">
        <v>200</v>
      </c>
      <c r="B507" s="178" t="s">
        <v>474</v>
      </c>
      <c r="C507" s="178">
        <v>23130.52</v>
      </c>
      <c r="D507">
        <v>23130.52</v>
      </c>
      <c r="E507">
        <v>-28335.14</v>
      </c>
      <c r="F507">
        <v>1</v>
      </c>
      <c r="G507">
        <v>-28335.14</v>
      </c>
      <c r="H507">
        <v>-28335.14</v>
      </c>
      <c r="I507">
        <v>1</v>
      </c>
      <c r="J507">
        <v>-28335.14</v>
      </c>
      <c r="K507">
        <v>-5155</v>
      </c>
      <c r="L507">
        <v>-5155</v>
      </c>
      <c r="M507">
        <v>51465.66</v>
      </c>
      <c r="N507">
        <v>51465.66</v>
      </c>
      <c r="O507">
        <v>28285.52</v>
      </c>
      <c r="P507">
        <v>28285.52</v>
      </c>
      <c r="Q507" t="s">
        <v>497</v>
      </c>
      <c r="R507"/>
      <c r="S507"/>
      <c r="T507"/>
    </row>
    <row r="508" spans="1:20" customHeight="1" ht="14.5">
      <c r="A508" s="178">
        <v>210</v>
      </c>
      <c r="B508" s="178" t="s">
        <v>475</v>
      </c>
      <c r="C508" s="178">
        <v>25044.62</v>
      </c>
      <c r="D508">
        <v>25044.62</v>
      </c>
      <c r="E508">
        <v>-18738.48</v>
      </c>
      <c r="F508">
        <v>1</v>
      </c>
      <c r="G508">
        <v>-18738.48</v>
      </c>
      <c r="H508">
        <v>-18738.48</v>
      </c>
      <c r="I508">
        <v>1</v>
      </c>
      <c r="J508">
        <v>-18738.48</v>
      </c>
      <c r="K508">
        <v>-5539</v>
      </c>
      <c r="L508">
        <v>-5539</v>
      </c>
      <c r="M508">
        <v>43783.1</v>
      </c>
      <c r="N508">
        <v>43783.1</v>
      </c>
      <c r="O508">
        <v>30583.62</v>
      </c>
      <c r="P508">
        <v>30583.62</v>
      </c>
      <c r="Q508" t="s">
        <v>497</v>
      </c>
      <c r="R508"/>
      <c r="S508"/>
      <c r="T508"/>
    </row>
    <row r="509" spans="1:20" s="218" customFormat="1">
      <c r="A509" s="218" t="s">
        <v>478</v>
      </c>
      <c r="B509" s="218" t="s">
        <v>402</v>
      </c>
      <c r="C509" s="218" t="s">
        <v>509</v>
      </c>
      <c r="D509" s="218" t="s">
        <v>510</v>
      </c>
      <c r="E509" s="218" t="s">
        <v>403</v>
      </c>
      <c r="F509" s="218" t="s">
        <v>511</v>
      </c>
      <c r="G509" s="218" t="s">
        <v>512</v>
      </c>
      <c r="H509" s="218" t="s">
        <v>513</v>
      </c>
      <c r="I509" s="218" t="s">
        <v>514</v>
      </c>
      <c r="J509" s="218" t="s">
        <v>515</v>
      </c>
      <c r="K509" s="218" t="s">
        <v>437</v>
      </c>
      <c r="L509" s="218" t="s">
        <v>516</v>
      </c>
      <c r="M509" s="218" t="s">
        <v>530</v>
      </c>
      <c r="N509" s="218" t="s">
        <v>532</v>
      </c>
      <c r="O509" s="218" t="s">
        <v>533</v>
      </c>
      <c r="P509" s="218" t="s">
        <v>534</v>
      </c>
      <c r="Q509" s="218" t="s">
        <v>405</v>
      </c>
      <c r="R509" s="218"/>
      <c r="S509" s="218"/>
      <c r="T509" s="218"/>
    </row>
    <row r="510" spans="1:20" customHeight="1" ht="14.5">
      <c r="A510" s="178">
        <v>30</v>
      </c>
      <c r="B510" s="178" t="s">
        <v>456</v>
      </c>
      <c r="C510" s="178">
        <v>44332.89</v>
      </c>
      <c r="D510">
        <v>44332.89</v>
      </c>
      <c r="E510">
        <v>50492.11</v>
      </c>
      <c r="F510">
        <v>1</v>
      </c>
      <c r="G510">
        <v>50492.11</v>
      </c>
      <c r="H510">
        <v>50492.11</v>
      </c>
      <c r="I510">
        <v>1</v>
      </c>
      <c r="J510">
        <v>50492.11</v>
      </c>
      <c r="K510">
        <v>103875</v>
      </c>
      <c r="L510">
        <v>103875</v>
      </c>
      <c r="M510">
        <v>-6159.22</v>
      </c>
      <c r="N510">
        <v>-6159.22</v>
      </c>
      <c r="O510">
        <v>-59542.11</v>
      </c>
      <c r="P510">
        <v>-59542.11</v>
      </c>
      <c r="Q510" t="s">
        <v>497</v>
      </c>
      <c r="R510"/>
      <c r="S510"/>
      <c r="T510"/>
    </row>
    <row r="511" spans="1:20" customHeight="1" ht="14.5">
      <c r="A511" s="178">
        <v>40</v>
      </c>
      <c r="B511" s="178" t="s">
        <v>457</v>
      </c>
      <c r="C511" s="178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497</v>
      </c>
      <c r="R511"/>
      <c r="S511"/>
      <c r="T511"/>
    </row>
    <row r="512" spans="1:20">
      <c r="A512" s="178">
        <v>50</v>
      </c>
      <c r="B512" s="178" t="s">
        <v>458</v>
      </c>
      <c r="C512" s="178">
        <v>44332.89</v>
      </c>
      <c r="D512">
        <v>44332.89</v>
      </c>
      <c r="E512">
        <v>50492.11</v>
      </c>
      <c r="F512">
        <v>1</v>
      </c>
      <c r="G512">
        <v>50492.11</v>
      </c>
      <c r="H512">
        <v>50492.11</v>
      </c>
      <c r="I512">
        <v>1</v>
      </c>
      <c r="J512">
        <v>50492.11</v>
      </c>
      <c r="K512">
        <v>103875</v>
      </c>
      <c r="L512">
        <v>103875</v>
      </c>
      <c r="M512">
        <v>-6159.22</v>
      </c>
      <c r="N512">
        <v>-6159.22</v>
      </c>
      <c r="O512">
        <v>-59542.11</v>
      </c>
      <c r="P512">
        <v>-59542.11</v>
      </c>
      <c r="Q512" t="s">
        <v>497</v>
      </c>
      <c r="R512"/>
      <c r="S512"/>
      <c r="T512"/>
    </row>
    <row r="513" spans="1:20">
      <c r="A513" s="178">
        <v>60</v>
      </c>
      <c r="B513" s="178" t="s">
        <v>459</v>
      </c>
      <c r="C513" s="178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497</v>
      </c>
      <c r="R513"/>
      <c r="S513"/>
      <c r="T513"/>
    </row>
    <row r="514" spans="1:20">
      <c r="A514" s="178">
        <v>70</v>
      </c>
      <c r="B514" s="178" t="s">
        <v>461</v>
      </c>
      <c r="C514" s="178">
        <v>44332.89</v>
      </c>
      <c r="D514">
        <v>44332.89</v>
      </c>
      <c r="E514">
        <v>50492.11</v>
      </c>
      <c r="F514">
        <v>1</v>
      </c>
      <c r="G514">
        <v>50492.11</v>
      </c>
      <c r="H514">
        <v>50492.11</v>
      </c>
      <c r="I514">
        <v>1</v>
      </c>
      <c r="J514">
        <v>50492.11</v>
      </c>
      <c r="K514">
        <v>103875</v>
      </c>
      <c r="L514">
        <v>103875</v>
      </c>
      <c r="M514">
        <v>-6159.22</v>
      </c>
      <c r="N514">
        <v>-6159.22</v>
      </c>
      <c r="O514">
        <v>-59542.11</v>
      </c>
      <c r="P514">
        <v>-59542.11</v>
      </c>
      <c r="Q514" t="s">
        <v>497</v>
      </c>
      <c r="R514"/>
      <c r="S514"/>
      <c r="T514"/>
    </row>
    <row r="515" spans="1:20" customHeight="1" ht="14.5">
      <c r="A515" s="178">
        <v>80</v>
      </c>
      <c r="B515" s="178" t="s">
        <v>462</v>
      </c>
      <c r="C515" s="178">
        <v>10710.3</v>
      </c>
      <c r="D515">
        <v>10710.3</v>
      </c>
      <c r="E515">
        <v>51009.11</v>
      </c>
      <c r="F515">
        <v>1</v>
      </c>
      <c r="G515">
        <v>51009.11</v>
      </c>
      <c r="H515">
        <v>51009.11</v>
      </c>
      <c r="I515">
        <v>1</v>
      </c>
      <c r="J515">
        <v>51009.11</v>
      </c>
      <c r="K515">
        <v>33200</v>
      </c>
      <c r="L515">
        <v>33200</v>
      </c>
      <c r="M515">
        <v>-40298.81</v>
      </c>
      <c r="N515">
        <v>-40298.81</v>
      </c>
      <c r="O515">
        <v>-22489.7</v>
      </c>
      <c r="P515">
        <v>-22489.7</v>
      </c>
      <c r="Q515" t="s">
        <v>497</v>
      </c>
      <c r="R515"/>
      <c r="S515"/>
      <c r="T515"/>
    </row>
    <row r="516" spans="1:20" customHeight="1" ht="14.5">
      <c r="A516" s="178">
        <v>90</v>
      </c>
      <c r="B516" s="178" t="s">
        <v>463</v>
      </c>
      <c r="C516" s="178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497</v>
      </c>
      <c r="R516"/>
      <c r="S516"/>
      <c r="T516"/>
    </row>
    <row r="517" spans="1:20" customHeight="1" ht="14.5">
      <c r="A517" s="178">
        <v>100</v>
      </c>
      <c r="B517" s="178" t="s">
        <v>464</v>
      </c>
      <c r="C517" s="178">
        <v>21016</v>
      </c>
      <c r="D517">
        <v>21016</v>
      </c>
      <c r="E517">
        <v>11894.08</v>
      </c>
      <c r="F517">
        <v>1</v>
      </c>
      <c r="G517">
        <v>11894.08</v>
      </c>
      <c r="H517">
        <v>11894.08</v>
      </c>
      <c r="I517">
        <v>1</v>
      </c>
      <c r="J517">
        <v>11894.08</v>
      </c>
      <c r="K517">
        <v>13698</v>
      </c>
      <c r="L517">
        <v>13698</v>
      </c>
      <c r="M517">
        <v>9121.92</v>
      </c>
      <c r="N517">
        <v>9121.92</v>
      </c>
      <c r="O517">
        <v>7318</v>
      </c>
      <c r="P517">
        <v>7318</v>
      </c>
      <c r="Q517" t="s">
        <v>497</v>
      </c>
      <c r="R517"/>
      <c r="S517"/>
      <c r="T517"/>
    </row>
    <row r="518" spans="1:20" customHeight="1" ht="14.5">
      <c r="A518" s="178">
        <v>110</v>
      </c>
      <c r="B518" s="178" t="s">
        <v>465</v>
      </c>
      <c r="C518" s="178">
        <v>31726.3</v>
      </c>
      <c r="D518">
        <v>31726.3</v>
      </c>
      <c r="E518">
        <v>62903.19</v>
      </c>
      <c r="F518">
        <v>1</v>
      </c>
      <c r="G518">
        <v>62903.19</v>
      </c>
      <c r="H518">
        <v>62903.19</v>
      </c>
      <c r="I518">
        <v>1</v>
      </c>
      <c r="J518">
        <v>62903.19</v>
      </c>
      <c r="K518">
        <v>46898</v>
      </c>
      <c r="L518">
        <v>46898</v>
      </c>
      <c r="M518">
        <v>-31176.89</v>
      </c>
      <c r="N518">
        <v>-31176.89</v>
      </c>
      <c r="O518">
        <v>-15171.7</v>
      </c>
      <c r="P518">
        <v>-15171.7</v>
      </c>
      <c r="Q518" t="s">
        <v>497</v>
      </c>
      <c r="R518"/>
      <c r="S518"/>
      <c r="T518"/>
    </row>
    <row r="519" spans="1:20" customHeight="1" ht="14.5">
      <c r="A519" s="178">
        <v>120</v>
      </c>
      <c r="B519" s="178" t="s">
        <v>466</v>
      </c>
      <c r="C519" s="178">
        <v>12606.59</v>
      </c>
      <c r="D519">
        <v>12606.59</v>
      </c>
      <c r="E519">
        <v>-12411.08</v>
      </c>
      <c r="F519">
        <v>1</v>
      </c>
      <c r="G519">
        <v>-12411.08</v>
      </c>
      <c r="H519">
        <v>-12411.08</v>
      </c>
      <c r="I519">
        <v>1</v>
      </c>
      <c r="J519">
        <v>-12411.08</v>
      </c>
      <c r="K519">
        <v>56977</v>
      </c>
      <c r="L519">
        <v>56977</v>
      </c>
      <c r="M519">
        <v>25017.67</v>
      </c>
      <c r="N519">
        <v>25017.67</v>
      </c>
      <c r="O519">
        <v>-44370.41</v>
      </c>
      <c r="P519">
        <v>-44370.41</v>
      </c>
      <c r="Q519" t="s">
        <v>497</v>
      </c>
      <c r="R519"/>
      <c r="S519"/>
      <c r="T519"/>
    </row>
    <row r="520" spans="1:20" customHeight="1" ht="14.5">
      <c r="A520" s="178">
        <v>130</v>
      </c>
      <c r="B520" s="178"/>
      <c r="C520" s="178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497</v>
      </c>
      <c r="R520"/>
      <c r="S520"/>
      <c r="T520"/>
    </row>
    <row r="521" spans="1:20" customHeight="1" ht="14.5">
      <c r="A521" s="178">
        <v>135</v>
      </c>
      <c r="B521" s="178" t="s">
        <v>467</v>
      </c>
      <c r="C521" s="178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497</v>
      </c>
      <c r="R521"/>
      <c r="S521"/>
      <c r="T521"/>
    </row>
    <row r="522" spans="1:20" customHeight="1" ht="14.5">
      <c r="A522" s="178">
        <v>140</v>
      </c>
      <c r="B522" s="178" t="s">
        <v>468</v>
      </c>
      <c r="C522" s="178">
        <v>5059.56</v>
      </c>
      <c r="D522">
        <v>5059.56</v>
      </c>
      <c r="E522">
        <v>21870.81</v>
      </c>
      <c r="F522">
        <v>1</v>
      </c>
      <c r="G522">
        <v>21870.81</v>
      </c>
      <c r="H522">
        <v>21870.81</v>
      </c>
      <c r="I522">
        <v>1</v>
      </c>
      <c r="J522">
        <v>21870.81</v>
      </c>
      <c r="K522">
        <v>8700</v>
      </c>
      <c r="L522">
        <v>8700</v>
      </c>
      <c r="M522">
        <v>-16811.25</v>
      </c>
      <c r="N522">
        <v>-16811.25</v>
      </c>
      <c r="O522">
        <v>-3640.44</v>
      </c>
      <c r="P522">
        <v>-3640.44</v>
      </c>
      <c r="Q522" t="s">
        <v>497</v>
      </c>
      <c r="R522"/>
      <c r="S522"/>
      <c r="T522"/>
    </row>
    <row r="523" spans="1:20" customHeight="1" ht="14.5">
      <c r="A523" s="178">
        <v>150</v>
      </c>
      <c r="B523" s="178" t="s">
        <v>469</v>
      </c>
      <c r="C523" s="178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497</v>
      </c>
      <c r="R523"/>
      <c r="S523"/>
      <c r="T523"/>
    </row>
    <row r="524" spans="1:20" customHeight="1" ht="14.5">
      <c r="A524" s="178">
        <v>155</v>
      </c>
      <c r="B524" s="178"/>
      <c r="C524" s="178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497</v>
      </c>
      <c r="R524"/>
      <c r="S524"/>
      <c r="T524"/>
    </row>
    <row r="525" spans="1:20" customHeight="1" ht="14.5">
      <c r="A525" s="178">
        <v>160</v>
      </c>
      <c r="B525" s="178" t="s">
        <v>470</v>
      </c>
      <c r="C525" s="178">
        <v>5059.56</v>
      </c>
      <c r="D525">
        <v>5059.56</v>
      </c>
      <c r="E525">
        <v>21870.81</v>
      </c>
      <c r="F525">
        <v>1</v>
      </c>
      <c r="G525">
        <v>21870.81</v>
      </c>
      <c r="H525">
        <v>21870.81</v>
      </c>
      <c r="I525">
        <v>1</v>
      </c>
      <c r="J525">
        <v>21870.81</v>
      </c>
      <c r="K525">
        <v>8700</v>
      </c>
      <c r="L525">
        <v>8700</v>
      </c>
      <c r="M525">
        <v>-16811.25</v>
      </c>
      <c r="N525">
        <v>-16811.25</v>
      </c>
      <c r="O525">
        <v>-3640.44</v>
      </c>
      <c r="P525">
        <v>-3640.44</v>
      </c>
      <c r="Q525" t="s">
        <v>497</v>
      </c>
      <c r="R525"/>
      <c r="S525"/>
      <c r="T525"/>
    </row>
    <row r="526" spans="1:20" customHeight="1" ht="14.5">
      <c r="A526" s="178">
        <v>170</v>
      </c>
      <c r="B526" s="178" t="s">
        <v>479</v>
      </c>
      <c r="C526" s="178">
        <v>7547.03</v>
      </c>
      <c r="D526">
        <v>7547.03</v>
      </c>
      <c r="E526">
        <v>-34281.89</v>
      </c>
      <c r="F526">
        <v>1</v>
      </c>
      <c r="G526">
        <v>-34281.89</v>
      </c>
      <c r="H526">
        <v>-34281.89</v>
      </c>
      <c r="I526">
        <v>1</v>
      </c>
      <c r="J526">
        <v>-34281.89</v>
      </c>
      <c r="K526">
        <v>48277</v>
      </c>
      <c r="L526">
        <v>48277</v>
      </c>
      <c r="M526">
        <v>41828.92</v>
      </c>
      <c r="N526">
        <v>41828.92</v>
      </c>
      <c r="O526">
        <v>-40729.97</v>
      </c>
      <c r="P526">
        <v>-40729.97</v>
      </c>
      <c r="Q526" t="s">
        <v>497</v>
      </c>
      <c r="R526"/>
      <c r="S526"/>
      <c r="T526"/>
    </row>
    <row r="527" spans="1:20">
      <c r="A527" s="178">
        <v>180</v>
      </c>
      <c r="B527" s="178" t="s">
        <v>472</v>
      </c>
      <c r="C527" s="178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497</v>
      </c>
      <c r="R527"/>
      <c r="S527"/>
      <c r="T527"/>
    </row>
    <row r="528" spans="1:20">
      <c r="A528" s="178">
        <v>190</v>
      </c>
      <c r="B528" s="178" t="s">
        <v>473</v>
      </c>
      <c r="C528" s="17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497</v>
      </c>
      <c r="R528"/>
      <c r="S528"/>
      <c r="T528"/>
    </row>
    <row r="529" spans="1:20" customHeight="1" ht="14.5">
      <c r="A529" s="178">
        <v>200</v>
      </c>
      <c r="B529" s="178" t="s">
        <v>474</v>
      </c>
      <c r="C529" s="178">
        <v>7547.03</v>
      </c>
      <c r="D529">
        <v>7547.03</v>
      </c>
      <c r="E529">
        <v>-34281.89</v>
      </c>
      <c r="F529">
        <v>1</v>
      </c>
      <c r="G529">
        <v>-34281.89</v>
      </c>
      <c r="H529">
        <v>-34281.89</v>
      </c>
      <c r="I529">
        <v>1</v>
      </c>
      <c r="J529">
        <v>-34281.89</v>
      </c>
      <c r="K529">
        <v>48277</v>
      </c>
      <c r="L529">
        <v>48277</v>
      </c>
      <c r="M529">
        <v>41828.92</v>
      </c>
      <c r="N529">
        <v>41828.92</v>
      </c>
      <c r="O529">
        <v>-40729.97</v>
      </c>
      <c r="P529">
        <v>-40729.97</v>
      </c>
      <c r="Q529" t="s">
        <v>497</v>
      </c>
      <c r="R529"/>
      <c r="S529"/>
      <c r="T529"/>
    </row>
    <row r="530" spans="1:20" customHeight="1" ht="14.5">
      <c r="A530" s="178">
        <v>210</v>
      </c>
      <c r="B530" s="178" t="s">
        <v>475</v>
      </c>
      <c r="C530" s="178">
        <v>33622.59</v>
      </c>
      <c r="D530">
        <v>33622.59</v>
      </c>
      <c r="E530">
        <v>-517</v>
      </c>
      <c r="F530">
        <v>1</v>
      </c>
      <c r="G530">
        <v>-517</v>
      </c>
      <c r="H530">
        <v>-517</v>
      </c>
      <c r="I530">
        <v>1</v>
      </c>
      <c r="J530">
        <v>-517</v>
      </c>
      <c r="K530">
        <v>70675</v>
      </c>
      <c r="L530">
        <v>70675</v>
      </c>
      <c r="M530">
        <v>34139.59</v>
      </c>
      <c r="N530">
        <v>34139.59</v>
      </c>
      <c r="O530">
        <v>-37052.41</v>
      </c>
      <c r="P530">
        <v>-37052.41</v>
      </c>
      <c r="Q530" t="s">
        <v>497</v>
      </c>
      <c r="R530"/>
      <c r="S530"/>
      <c r="T530"/>
    </row>
    <row r="531" spans="1:20" s="218" customFormat="1">
      <c r="A531" s="218" t="s">
        <v>480</v>
      </c>
      <c r="B531" s="218" t="s">
        <v>402</v>
      </c>
      <c r="C531" s="218" t="s">
        <v>509</v>
      </c>
      <c r="D531" s="218" t="s">
        <v>510</v>
      </c>
      <c r="E531" s="218" t="s">
        <v>403</v>
      </c>
      <c r="F531" s="218" t="s">
        <v>511</v>
      </c>
      <c r="G531" s="218" t="s">
        <v>512</v>
      </c>
      <c r="H531" s="218" t="s">
        <v>513</v>
      </c>
      <c r="I531" s="218" t="s">
        <v>514</v>
      </c>
      <c r="J531" s="218" t="s">
        <v>515</v>
      </c>
      <c r="K531" s="218" t="s">
        <v>437</v>
      </c>
      <c r="L531" s="218" t="s">
        <v>516</v>
      </c>
      <c r="M531" s="218" t="s">
        <v>530</v>
      </c>
      <c r="N531" s="218" t="s">
        <v>532</v>
      </c>
      <c r="O531" s="218" t="s">
        <v>533</v>
      </c>
      <c r="P531" s="218" t="s">
        <v>534</v>
      </c>
      <c r="Q531" s="218" t="s">
        <v>405</v>
      </c>
      <c r="R531" s="218"/>
      <c r="S531" s="218"/>
      <c r="T531" s="218"/>
    </row>
    <row r="532" spans="1:20" customHeight="1" ht="14.5">
      <c r="A532" s="178">
        <v>30</v>
      </c>
      <c r="B532" s="178" t="s">
        <v>456</v>
      </c>
      <c r="C532" s="178">
        <v>3743</v>
      </c>
      <c r="D532">
        <v>3743</v>
      </c>
      <c r="E532">
        <v>3755</v>
      </c>
      <c r="F532">
        <v>1</v>
      </c>
      <c r="G532">
        <v>3755</v>
      </c>
      <c r="H532">
        <v>3755</v>
      </c>
      <c r="I532">
        <v>1</v>
      </c>
      <c r="J532">
        <v>3755</v>
      </c>
      <c r="K532">
        <v>0</v>
      </c>
      <c r="L532">
        <v>0</v>
      </c>
      <c r="M532">
        <v>-12</v>
      </c>
      <c r="N532">
        <v>-12</v>
      </c>
      <c r="O532">
        <v>3743</v>
      </c>
      <c r="P532">
        <v>3743</v>
      </c>
      <c r="Q532" t="s">
        <v>497</v>
      </c>
      <c r="R532"/>
      <c r="S532"/>
      <c r="T532"/>
    </row>
    <row r="533" spans="1:20" customHeight="1" ht="14.5">
      <c r="A533" s="178">
        <v>40</v>
      </c>
      <c r="B533" s="178" t="s">
        <v>457</v>
      </c>
      <c r="C533" s="178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497</v>
      </c>
      <c r="R533"/>
      <c r="S533"/>
      <c r="T533"/>
    </row>
    <row r="534" spans="1:20">
      <c r="A534" s="178">
        <v>50</v>
      </c>
      <c r="B534" s="178" t="s">
        <v>458</v>
      </c>
      <c r="C534" s="178">
        <v>3743</v>
      </c>
      <c r="D534">
        <v>3743</v>
      </c>
      <c r="E534">
        <v>3755</v>
      </c>
      <c r="F534">
        <v>1</v>
      </c>
      <c r="G534">
        <v>3755</v>
      </c>
      <c r="H534">
        <v>3755</v>
      </c>
      <c r="I534">
        <v>1</v>
      </c>
      <c r="J534">
        <v>3755</v>
      </c>
      <c r="K534">
        <v>0</v>
      </c>
      <c r="L534">
        <v>0</v>
      </c>
      <c r="M534">
        <v>-12</v>
      </c>
      <c r="N534">
        <v>-12</v>
      </c>
      <c r="O534">
        <v>3743</v>
      </c>
      <c r="P534">
        <v>3743</v>
      </c>
      <c r="Q534" t="s">
        <v>497</v>
      </c>
      <c r="R534"/>
      <c r="S534"/>
      <c r="T534"/>
    </row>
    <row r="535" spans="1:20">
      <c r="A535" s="178">
        <v>60</v>
      </c>
      <c r="B535" s="178" t="s">
        <v>459</v>
      </c>
      <c r="C535" s="178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497</v>
      </c>
      <c r="R535"/>
      <c r="S535"/>
      <c r="T535"/>
    </row>
    <row r="536" spans="1:20">
      <c r="A536" s="178">
        <v>70</v>
      </c>
      <c r="B536" s="178" t="s">
        <v>461</v>
      </c>
      <c r="C536" s="178">
        <v>3743</v>
      </c>
      <c r="D536">
        <v>3743</v>
      </c>
      <c r="E536">
        <v>3755</v>
      </c>
      <c r="F536">
        <v>1</v>
      </c>
      <c r="G536">
        <v>3755</v>
      </c>
      <c r="H536">
        <v>3755</v>
      </c>
      <c r="I536">
        <v>1</v>
      </c>
      <c r="J536">
        <v>3755</v>
      </c>
      <c r="K536">
        <v>0</v>
      </c>
      <c r="L536">
        <v>0</v>
      </c>
      <c r="M536">
        <v>-12</v>
      </c>
      <c r="N536">
        <v>-12</v>
      </c>
      <c r="O536">
        <v>3743</v>
      </c>
      <c r="P536">
        <v>3743</v>
      </c>
      <c r="Q536" t="s">
        <v>497</v>
      </c>
      <c r="R536"/>
      <c r="S536"/>
      <c r="T536"/>
    </row>
    <row r="537" spans="1:20" customHeight="1" ht="14.5">
      <c r="A537" s="178">
        <v>80</v>
      </c>
      <c r="B537" s="178" t="s">
        <v>462</v>
      </c>
      <c r="C537" s="178">
        <v>15.2</v>
      </c>
      <c r="D537">
        <v>15.2</v>
      </c>
      <c r="E537">
        <v>43.7</v>
      </c>
      <c r="F537">
        <v>1</v>
      </c>
      <c r="G537">
        <v>43.7</v>
      </c>
      <c r="H537">
        <v>43.7</v>
      </c>
      <c r="I537">
        <v>1</v>
      </c>
      <c r="J537">
        <v>43.7</v>
      </c>
      <c r="K537">
        <v>0</v>
      </c>
      <c r="L537">
        <v>0</v>
      </c>
      <c r="M537">
        <v>-28.5</v>
      </c>
      <c r="N537">
        <v>-28.5</v>
      </c>
      <c r="O537">
        <v>15.2</v>
      </c>
      <c r="P537">
        <v>15.2</v>
      </c>
      <c r="Q537" t="s">
        <v>497</v>
      </c>
      <c r="R537"/>
      <c r="S537"/>
      <c r="T537"/>
    </row>
    <row r="538" spans="1:20" customHeight="1" ht="14.5">
      <c r="A538" s="178">
        <v>90</v>
      </c>
      <c r="B538" s="178" t="s">
        <v>463</v>
      </c>
      <c r="C538" s="17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497</v>
      </c>
      <c r="R538"/>
      <c r="S538"/>
      <c r="T538"/>
    </row>
    <row r="539" spans="1:20" customHeight="1" ht="14.5">
      <c r="A539" s="178">
        <v>100</v>
      </c>
      <c r="B539" s="178" t="s">
        <v>464</v>
      </c>
      <c r="C539" s="178">
        <v>3786.04</v>
      </c>
      <c r="D539">
        <v>3786.04</v>
      </c>
      <c r="E539">
        <v>3786.04</v>
      </c>
      <c r="F539">
        <v>1</v>
      </c>
      <c r="G539">
        <v>3786.04</v>
      </c>
      <c r="H539">
        <v>3786.04</v>
      </c>
      <c r="I539">
        <v>1</v>
      </c>
      <c r="J539">
        <v>3786.04</v>
      </c>
      <c r="K539">
        <v>0</v>
      </c>
      <c r="L539">
        <v>0</v>
      </c>
      <c r="M539">
        <v>0</v>
      </c>
      <c r="N539">
        <v>0</v>
      </c>
      <c r="O539">
        <v>3786.04</v>
      </c>
      <c r="P539">
        <v>3786.04</v>
      </c>
      <c r="Q539" t="s">
        <v>497</v>
      </c>
      <c r="R539"/>
      <c r="S539"/>
      <c r="T539"/>
    </row>
    <row r="540" spans="1:20" customHeight="1" ht="14.5">
      <c r="A540" s="178">
        <v>110</v>
      </c>
      <c r="B540" s="178" t="s">
        <v>465</v>
      </c>
      <c r="C540" s="178">
        <v>3801.24</v>
      </c>
      <c r="D540">
        <v>3801.24</v>
      </c>
      <c r="E540">
        <v>3829.74</v>
      </c>
      <c r="F540">
        <v>1</v>
      </c>
      <c r="G540">
        <v>3829.74</v>
      </c>
      <c r="H540">
        <v>3829.74</v>
      </c>
      <c r="I540">
        <v>1</v>
      </c>
      <c r="J540">
        <v>3829.74</v>
      </c>
      <c r="K540">
        <v>0</v>
      </c>
      <c r="L540">
        <v>0</v>
      </c>
      <c r="M540">
        <v>-28.5</v>
      </c>
      <c r="N540">
        <v>-28.5</v>
      </c>
      <c r="O540">
        <v>3801.24</v>
      </c>
      <c r="P540">
        <v>3801.24</v>
      </c>
      <c r="Q540" t="s">
        <v>497</v>
      </c>
      <c r="R540"/>
      <c r="S540"/>
      <c r="T540"/>
    </row>
    <row r="541" spans="1:20" customHeight="1" ht="14.5">
      <c r="A541" s="178">
        <v>120</v>
      </c>
      <c r="B541" s="178" t="s">
        <v>465</v>
      </c>
      <c r="C541" s="178">
        <v>-58.24</v>
      </c>
      <c r="D541">
        <v>-58.24</v>
      </c>
      <c r="E541">
        <v>-74.74</v>
      </c>
      <c r="F541">
        <v>1</v>
      </c>
      <c r="G541">
        <v>-74.74</v>
      </c>
      <c r="H541">
        <v>-74.74</v>
      </c>
      <c r="I541">
        <v>1</v>
      </c>
      <c r="J541">
        <v>-74.74</v>
      </c>
      <c r="K541">
        <v>0</v>
      </c>
      <c r="L541">
        <v>0</v>
      </c>
      <c r="M541">
        <v>16.5</v>
      </c>
      <c r="N541">
        <v>16.5</v>
      </c>
      <c r="O541">
        <v>-58.24</v>
      </c>
      <c r="P541">
        <v>-58.24</v>
      </c>
      <c r="Q541" t="s">
        <v>497</v>
      </c>
      <c r="R541"/>
      <c r="S541"/>
      <c r="T541"/>
    </row>
    <row r="542" spans="1:20" customHeight="1" ht="14.5">
      <c r="A542" s="178">
        <v>130</v>
      </c>
      <c r="B542" s="178" t="s">
        <v>417</v>
      </c>
      <c r="C542" s="178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497</v>
      </c>
      <c r="R542"/>
      <c r="S542"/>
      <c r="T542"/>
    </row>
    <row r="543" spans="1:20" customHeight="1" ht="14.5">
      <c r="A543" s="178">
        <v>135</v>
      </c>
      <c r="B543" s="178" t="s">
        <v>467</v>
      </c>
      <c r="C543" s="178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497</v>
      </c>
      <c r="R543"/>
      <c r="S543"/>
      <c r="T543"/>
    </row>
    <row r="544" spans="1:20" customHeight="1" ht="14.5">
      <c r="A544" s="178">
        <v>140</v>
      </c>
      <c r="B544" s="178" t="s">
        <v>468</v>
      </c>
      <c r="C544" s="178">
        <v>0</v>
      </c>
      <c r="D544">
        <v>0</v>
      </c>
      <c r="E544">
        <v>1945.15</v>
      </c>
      <c r="F544">
        <v>1</v>
      </c>
      <c r="G544">
        <v>1945.15</v>
      </c>
      <c r="H544">
        <v>1945.15</v>
      </c>
      <c r="I544">
        <v>1</v>
      </c>
      <c r="J544">
        <v>1945.15</v>
      </c>
      <c r="K544">
        <v>0</v>
      </c>
      <c r="L544">
        <v>0</v>
      </c>
      <c r="M544">
        <v>-1945.15</v>
      </c>
      <c r="N544">
        <v>-1945.15</v>
      </c>
      <c r="O544">
        <v>0</v>
      </c>
      <c r="P544">
        <v>0</v>
      </c>
      <c r="Q544" t="s">
        <v>497</v>
      </c>
      <c r="R544"/>
      <c r="S544"/>
      <c r="T544"/>
    </row>
    <row r="545" spans="1:20" customHeight="1" ht="14.5">
      <c r="A545" s="178">
        <v>150</v>
      </c>
      <c r="B545" s="178" t="s">
        <v>469</v>
      </c>
      <c r="C545" s="178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497</v>
      </c>
      <c r="R545"/>
      <c r="S545"/>
      <c r="T545"/>
    </row>
    <row r="546" spans="1:20" customHeight="1" ht="14.5">
      <c r="A546" s="178">
        <v>155</v>
      </c>
      <c r="B546" s="178" t="s">
        <v>421</v>
      </c>
      <c r="C546" s="178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497</v>
      </c>
      <c r="R546"/>
      <c r="S546"/>
      <c r="T546"/>
    </row>
    <row r="547" spans="1:20" customHeight="1" ht="14.5">
      <c r="A547" s="178">
        <v>160</v>
      </c>
      <c r="B547" s="178" t="s">
        <v>470</v>
      </c>
      <c r="C547" s="178">
        <v>0</v>
      </c>
      <c r="D547">
        <v>0</v>
      </c>
      <c r="E547">
        <v>1945.15</v>
      </c>
      <c r="F547">
        <v>1</v>
      </c>
      <c r="G547">
        <v>1945.15</v>
      </c>
      <c r="H547">
        <v>1945.15</v>
      </c>
      <c r="I547">
        <v>1</v>
      </c>
      <c r="J547">
        <v>1945.15</v>
      </c>
      <c r="K547">
        <v>0</v>
      </c>
      <c r="L547">
        <v>0</v>
      </c>
      <c r="M547">
        <v>-1945.15</v>
      </c>
      <c r="N547">
        <v>-1945.15</v>
      </c>
      <c r="O547">
        <v>0</v>
      </c>
      <c r="P547">
        <v>0</v>
      </c>
      <c r="Q547" t="s">
        <v>497</v>
      </c>
      <c r="R547"/>
      <c r="S547"/>
      <c r="T547"/>
    </row>
    <row r="548" spans="1:20" customHeight="1" ht="14.5">
      <c r="A548" s="178">
        <v>170</v>
      </c>
      <c r="B548" s="178" t="s">
        <v>481</v>
      </c>
      <c r="C548" s="178">
        <v>-58.24</v>
      </c>
      <c r="D548">
        <v>-58.24</v>
      </c>
      <c r="E548">
        <v>-2019.89</v>
      </c>
      <c r="F548">
        <v>1</v>
      </c>
      <c r="G548">
        <v>-2019.89</v>
      </c>
      <c r="H548">
        <v>-2019.89</v>
      </c>
      <c r="I548">
        <v>1</v>
      </c>
      <c r="J548">
        <v>-2019.89</v>
      </c>
      <c r="K548">
        <v>0</v>
      </c>
      <c r="L548">
        <v>0</v>
      </c>
      <c r="M548">
        <v>1961.65</v>
      </c>
      <c r="N548">
        <v>1961.65</v>
      </c>
      <c r="O548">
        <v>-58.24</v>
      </c>
      <c r="P548">
        <v>-58.24</v>
      </c>
      <c r="Q548" t="s">
        <v>497</v>
      </c>
      <c r="R548"/>
      <c r="S548"/>
      <c r="T548"/>
    </row>
    <row r="549" spans="1:20">
      <c r="A549" s="178">
        <v>180</v>
      </c>
      <c r="B549" s="178" t="s">
        <v>482</v>
      </c>
      <c r="C549" s="178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497</v>
      </c>
      <c r="R549"/>
      <c r="S549"/>
      <c r="T549"/>
    </row>
    <row r="550" spans="1:20">
      <c r="A550" s="178">
        <v>190</v>
      </c>
      <c r="B550" s="178" t="s">
        <v>472</v>
      </c>
      <c r="C550" s="178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497</v>
      </c>
      <c r="R550"/>
      <c r="S550"/>
      <c r="T550"/>
    </row>
    <row r="551" spans="1:20" customHeight="1" ht="14.5">
      <c r="A551" s="178">
        <v>200</v>
      </c>
      <c r="B551" s="178" t="s">
        <v>474</v>
      </c>
      <c r="C551" s="178">
        <v>-58.24</v>
      </c>
      <c r="D551">
        <v>-58.24</v>
      </c>
      <c r="E551">
        <v>-2019.89</v>
      </c>
      <c r="F551">
        <v>1</v>
      </c>
      <c r="G551">
        <v>-2019.89</v>
      </c>
      <c r="H551">
        <v>-2019.89</v>
      </c>
      <c r="I551">
        <v>1</v>
      </c>
      <c r="J551">
        <v>-2019.89</v>
      </c>
      <c r="K551">
        <v>0</v>
      </c>
      <c r="L551">
        <v>0</v>
      </c>
      <c r="M551">
        <v>1961.65</v>
      </c>
      <c r="N551">
        <v>1961.65</v>
      </c>
      <c r="O551">
        <v>-58.24</v>
      </c>
      <c r="P551">
        <v>-58.24</v>
      </c>
      <c r="Q551" t="s">
        <v>497</v>
      </c>
      <c r="R551"/>
      <c r="S551"/>
      <c r="T551"/>
    </row>
    <row r="552" spans="1:20" customHeight="1" ht="14.5">
      <c r="A552" s="178">
        <v>210</v>
      </c>
      <c r="B552" s="178" t="s">
        <v>475</v>
      </c>
      <c r="C552" s="178">
        <v>3727.8</v>
      </c>
      <c r="D552">
        <v>3727.8</v>
      </c>
      <c r="E552">
        <v>3711.3</v>
      </c>
      <c r="F552">
        <v>1</v>
      </c>
      <c r="G552">
        <v>3711.3</v>
      </c>
      <c r="H552">
        <v>3711.3</v>
      </c>
      <c r="I552">
        <v>1</v>
      </c>
      <c r="J552">
        <v>3711.3</v>
      </c>
      <c r="K552">
        <v>0</v>
      </c>
      <c r="L552">
        <v>0</v>
      </c>
      <c r="M552">
        <v>16.5</v>
      </c>
      <c r="N552">
        <v>16.5</v>
      </c>
      <c r="O552">
        <v>3727.8</v>
      </c>
      <c r="P552">
        <v>3727.8</v>
      </c>
      <c r="Q552" t="s">
        <v>497</v>
      </c>
      <c r="R552"/>
      <c r="S552"/>
      <c r="T552"/>
    </row>
    <row r="553" spans="1:20" s="182" customFormat="1">
      <c r="A553" s="182" t="s">
        <v>483</v>
      </c>
      <c r="B553" s="182" t="s">
        <v>402</v>
      </c>
      <c r="C553" s="182" t="s">
        <v>509</v>
      </c>
      <c r="D553" s="182" t="s">
        <v>510</v>
      </c>
      <c r="E553" s="182" t="s">
        <v>403</v>
      </c>
      <c r="F553" s="182" t="s">
        <v>511</v>
      </c>
      <c r="G553" s="182" t="s">
        <v>512</v>
      </c>
      <c r="H553" s="182" t="s">
        <v>513</v>
      </c>
      <c r="I553" s="182" t="s">
        <v>514</v>
      </c>
      <c r="J553" s="182" t="s">
        <v>515</v>
      </c>
      <c r="K553" s="182" t="s">
        <v>437</v>
      </c>
      <c r="L553" s="182" t="s">
        <v>516</v>
      </c>
      <c r="M553" s="182" t="s">
        <v>530</v>
      </c>
      <c r="N553" s="182" t="s">
        <v>532</v>
      </c>
      <c r="O553" s="182" t="s">
        <v>533</v>
      </c>
      <c r="P553" s="182" t="s">
        <v>534</v>
      </c>
      <c r="Q553" s="182" t="s">
        <v>405</v>
      </c>
      <c r="R553" s="182"/>
      <c r="S553" s="182"/>
      <c r="T553" s="182"/>
    </row>
    <row r="554" spans="1:20" customHeight="1" ht="14.5">
      <c r="A554" s="178">
        <v>30</v>
      </c>
      <c r="B554" s="178" t="s">
        <v>456</v>
      </c>
      <c r="C554" s="178">
        <v>344771.95</v>
      </c>
      <c r="D554">
        <v>344771.95</v>
      </c>
      <c r="E554">
        <v>330845.63</v>
      </c>
      <c r="F554">
        <v>1</v>
      </c>
      <c r="G554">
        <v>330845.63</v>
      </c>
      <c r="H554">
        <v>330845.63</v>
      </c>
      <c r="I554">
        <v>1</v>
      </c>
      <c r="J554">
        <v>330845.63</v>
      </c>
      <c r="K554">
        <v>201855</v>
      </c>
      <c r="L554">
        <v>201855</v>
      </c>
      <c r="M554">
        <v>13926.32</v>
      </c>
      <c r="N554">
        <v>13926.32</v>
      </c>
      <c r="O554">
        <v>142916.95</v>
      </c>
      <c r="P554">
        <v>142916.95</v>
      </c>
      <c r="Q554" t="s">
        <v>497</v>
      </c>
      <c r="R554"/>
      <c r="S554"/>
      <c r="T554"/>
    </row>
    <row r="555" spans="1:20" customHeight="1" ht="14.5">
      <c r="A555" s="178">
        <v>40</v>
      </c>
      <c r="B555" s="178" t="s">
        <v>457</v>
      </c>
      <c r="C555" s="178">
        <v>69818.11</v>
      </c>
      <c r="D555">
        <v>69818.11</v>
      </c>
      <c r="E555">
        <v>104979.64</v>
      </c>
      <c r="F555">
        <v>1</v>
      </c>
      <c r="G555">
        <v>104979.64</v>
      </c>
      <c r="H555">
        <v>104979.64</v>
      </c>
      <c r="I555">
        <v>1</v>
      </c>
      <c r="J555">
        <v>104979.64</v>
      </c>
      <c r="K555">
        <v>0</v>
      </c>
      <c r="L555">
        <v>0</v>
      </c>
      <c r="M555">
        <v>-35161.53</v>
      </c>
      <c r="N555">
        <v>-35161.53</v>
      </c>
      <c r="O555">
        <v>69818.11</v>
      </c>
      <c r="P555">
        <v>69818.11</v>
      </c>
      <c r="Q555" t="s">
        <v>497</v>
      </c>
      <c r="R555"/>
      <c r="S555"/>
      <c r="T555"/>
    </row>
    <row r="556" spans="1:20">
      <c r="A556" s="178">
        <v>50</v>
      </c>
      <c r="B556" s="178" t="s">
        <v>458</v>
      </c>
      <c r="C556" s="178">
        <v>274953.84</v>
      </c>
      <c r="D556">
        <v>274953.84</v>
      </c>
      <c r="E556">
        <v>225865.99</v>
      </c>
      <c r="F556">
        <v>1</v>
      </c>
      <c r="G556">
        <v>225865.99</v>
      </c>
      <c r="H556">
        <v>225865.99</v>
      </c>
      <c r="I556">
        <v>1</v>
      </c>
      <c r="J556">
        <v>225865.99</v>
      </c>
      <c r="K556">
        <v>201855</v>
      </c>
      <c r="L556">
        <v>201855</v>
      </c>
      <c r="M556">
        <v>49087.85</v>
      </c>
      <c r="N556">
        <v>49087.85</v>
      </c>
      <c r="O556">
        <v>73098.84</v>
      </c>
      <c r="P556">
        <v>73098.84</v>
      </c>
      <c r="Q556" t="s">
        <v>497</v>
      </c>
      <c r="R556"/>
      <c r="S556"/>
      <c r="T556"/>
    </row>
    <row r="557" spans="1:20">
      <c r="A557" s="178">
        <v>60</v>
      </c>
      <c r="B557" s="178" t="s">
        <v>459</v>
      </c>
      <c r="C557" s="178">
        <v>80626.46</v>
      </c>
      <c r="D557">
        <v>80626.46</v>
      </c>
      <c r="E557">
        <v>76717.22</v>
      </c>
      <c r="F557">
        <v>1</v>
      </c>
      <c r="G557">
        <v>76717.22</v>
      </c>
      <c r="H557">
        <v>76717.22</v>
      </c>
      <c r="I557">
        <v>1</v>
      </c>
      <c r="J557">
        <v>76717.22</v>
      </c>
      <c r="K557">
        <v>62777</v>
      </c>
      <c r="L557">
        <v>62777</v>
      </c>
      <c r="M557">
        <v>3909.24</v>
      </c>
      <c r="N557">
        <v>3909.24</v>
      </c>
      <c r="O557">
        <v>17849.46</v>
      </c>
      <c r="P557">
        <v>17849.46</v>
      </c>
      <c r="Q557" t="s">
        <v>497</v>
      </c>
      <c r="R557"/>
      <c r="S557"/>
      <c r="T557"/>
    </row>
    <row r="558" spans="1:20">
      <c r="A558" s="178">
        <v>65</v>
      </c>
      <c r="B558" s="178" t="s">
        <v>460</v>
      </c>
      <c r="C558" s="17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497</v>
      </c>
      <c r="R558"/>
      <c r="S558"/>
      <c r="T558"/>
    </row>
    <row r="559" spans="1:20">
      <c r="A559" s="178">
        <v>70</v>
      </c>
      <c r="B559" s="178" t="s">
        <v>461</v>
      </c>
      <c r="C559" s="178">
        <v>194327.38</v>
      </c>
      <c r="D559">
        <v>194327.38</v>
      </c>
      <c r="E559">
        <v>149148.77</v>
      </c>
      <c r="F559">
        <v>1</v>
      </c>
      <c r="G559">
        <v>149148.77</v>
      </c>
      <c r="H559">
        <v>149148.77</v>
      </c>
      <c r="I559">
        <v>1</v>
      </c>
      <c r="J559">
        <v>149148.77</v>
      </c>
      <c r="K559">
        <v>139078</v>
      </c>
      <c r="L559">
        <v>139078</v>
      </c>
      <c r="M559">
        <v>45178.61</v>
      </c>
      <c r="N559">
        <v>45178.61</v>
      </c>
      <c r="O559">
        <v>55249.38</v>
      </c>
      <c r="P559">
        <v>55249.38</v>
      </c>
      <c r="Q559" t="s">
        <v>497</v>
      </c>
      <c r="R559"/>
      <c r="S559"/>
      <c r="T559"/>
    </row>
    <row r="560" spans="1:20" customHeight="1" ht="14.5">
      <c r="A560" s="178">
        <v>80</v>
      </c>
      <c r="B560" s="178" t="s">
        <v>462</v>
      </c>
      <c r="C560" s="178">
        <v>150455.85</v>
      </c>
      <c r="D560">
        <v>150455.85</v>
      </c>
      <c r="E560">
        <v>154585.91</v>
      </c>
      <c r="F560">
        <v>1</v>
      </c>
      <c r="G560">
        <v>154585.91</v>
      </c>
      <c r="H560">
        <v>154585.91</v>
      </c>
      <c r="I560">
        <v>1</v>
      </c>
      <c r="J560">
        <v>154585.91</v>
      </c>
      <c r="K560">
        <v>132288</v>
      </c>
      <c r="L560">
        <v>132288</v>
      </c>
      <c r="M560">
        <v>-4130.06</v>
      </c>
      <c r="N560">
        <v>-4130.06</v>
      </c>
      <c r="O560">
        <v>18167.85</v>
      </c>
      <c r="P560">
        <v>18167.85</v>
      </c>
      <c r="Q560" t="s">
        <v>497</v>
      </c>
      <c r="R560"/>
      <c r="S560"/>
      <c r="T560"/>
    </row>
    <row r="561" spans="1:20" customHeight="1" ht="14.5">
      <c r="A561" s="178">
        <v>90</v>
      </c>
      <c r="B561" s="178" t="s">
        <v>463</v>
      </c>
      <c r="C561" s="178">
        <v>6676.19</v>
      </c>
      <c r="D561">
        <v>6676.19</v>
      </c>
      <c r="E561">
        <v>12223.86</v>
      </c>
      <c r="F561">
        <v>1</v>
      </c>
      <c r="G561">
        <v>12223.86</v>
      </c>
      <c r="H561">
        <v>12223.86</v>
      </c>
      <c r="I561">
        <v>1</v>
      </c>
      <c r="J561">
        <v>12223.86</v>
      </c>
      <c r="K561">
        <v>10998</v>
      </c>
      <c r="L561">
        <v>10998</v>
      </c>
      <c r="M561">
        <v>-5547.67</v>
      </c>
      <c r="N561">
        <v>-5547.67</v>
      </c>
      <c r="O561">
        <v>-4321.81</v>
      </c>
      <c r="P561">
        <v>-4321.81</v>
      </c>
      <c r="Q561" t="s">
        <v>497</v>
      </c>
      <c r="R561"/>
      <c r="S561"/>
      <c r="T561"/>
    </row>
    <row r="562" spans="1:20" customHeight="1" ht="14.5">
      <c r="A562" s="178">
        <v>100</v>
      </c>
      <c r="B562" s="178" t="s">
        <v>464</v>
      </c>
      <c r="C562" s="178">
        <v>6304.28</v>
      </c>
      <c r="D562">
        <v>6304.28</v>
      </c>
      <c r="E562">
        <v>4774.06</v>
      </c>
      <c r="F562">
        <v>1</v>
      </c>
      <c r="G562">
        <v>4774.06</v>
      </c>
      <c r="H562">
        <v>4774.06</v>
      </c>
      <c r="I562">
        <v>1</v>
      </c>
      <c r="J562">
        <v>4774.06</v>
      </c>
      <c r="K562">
        <v>2988</v>
      </c>
      <c r="L562">
        <v>2988</v>
      </c>
      <c r="M562">
        <v>1530.22</v>
      </c>
      <c r="N562">
        <v>1530.22</v>
      </c>
      <c r="O562">
        <v>3316.28</v>
      </c>
      <c r="P562">
        <v>3316.28</v>
      </c>
      <c r="Q562" t="s">
        <v>497</v>
      </c>
      <c r="R562"/>
      <c r="S562"/>
      <c r="T562"/>
    </row>
    <row r="563" spans="1:20" customHeight="1" ht="14.5">
      <c r="A563" s="178">
        <v>110</v>
      </c>
      <c r="B563" s="178" t="s">
        <v>465</v>
      </c>
      <c r="C563" s="178">
        <v>163436.32</v>
      </c>
      <c r="D563">
        <v>163436.32</v>
      </c>
      <c r="E563">
        <v>171583.83</v>
      </c>
      <c r="F563">
        <v>1</v>
      </c>
      <c r="G563">
        <v>171583.83</v>
      </c>
      <c r="H563">
        <v>171583.83</v>
      </c>
      <c r="I563">
        <v>1</v>
      </c>
      <c r="J563">
        <v>171583.83</v>
      </c>
      <c r="K563">
        <v>146274</v>
      </c>
      <c r="L563">
        <v>146274</v>
      </c>
      <c r="M563">
        <v>-8147.51</v>
      </c>
      <c r="N563">
        <v>-8147.51</v>
      </c>
      <c r="O563">
        <v>17162.32</v>
      </c>
      <c r="P563">
        <v>17162.32</v>
      </c>
      <c r="Q563" t="s">
        <v>497</v>
      </c>
      <c r="R563"/>
      <c r="S563"/>
      <c r="T563"/>
    </row>
    <row r="564" spans="1:20" customHeight="1" ht="14.5">
      <c r="A564" s="178">
        <v>120</v>
      </c>
      <c r="B564" s="178" t="s">
        <v>466</v>
      </c>
      <c r="C564" s="178">
        <v>30891.06</v>
      </c>
      <c r="D564">
        <v>30891.06</v>
      </c>
      <c r="E564">
        <v>-22435.06</v>
      </c>
      <c r="F564">
        <v>1</v>
      </c>
      <c r="G564">
        <v>-22435.06</v>
      </c>
      <c r="H564">
        <v>-22435.06</v>
      </c>
      <c r="I564">
        <v>1</v>
      </c>
      <c r="J564">
        <v>-22435.06</v>
      </c>
      <c r="K564">
        <v>-7196</v>
      </c>
      <c r="L564">
        <v>-7196</v>
      </c>
      <c r="M564">
        <v>53326.12</v>
      </c>
      <c r="N564">
        <v>53326.12</v>
      </c>
      <c r="O564">
        <v>38087.06</v>
      </c>
      <c r="P564">
        <v>38087.06</v>
      </c>
      <c r="Q564" t="s">
        <v>497</v>
      </c>
      <c r="R564"/>
      <c r="S564"/>
      <c r="T564"/>
    </row>
    <row r="565" spans="1:20" customHeight="1" ht="14.5">
      <c r="A565" s="178">
        <v>130</v>
      </c>
      <c r="B565" s="178"/>
      <c r="C565" s="178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497</v>
      </c>
      <c r="R565"/>
      <c r="S565"/>
      <c r="T565"/>
    </row>
    <row r="566" spans="1:20" customHeight="1" ht="14.5">
      <c r="A566" s="178">
        <v>135</v>
      </c>
      <c r="B566" s="178" t="s">
        <v>467</v>
      </c>
      <c r="C566" s="178">
        <v>-2406.17</v>
      </c>
      <c r="D566">
        <v>-2406.17</v>
      </c>
      <c r="E566">
        <v>-772.78</v>
      </c>
      <c r="F566">
        <v>1</v>
      </c>
      <c r="G566">
        <v>-772.78</v>
      </c>
      <c r="H566">
        <v>-772.78</v>
      </c>
      <c r="I566">
        <v>1</v>
      </c>
      <c r="J566">
        <v>-772.78</v>
      </c>
      <c r="K566">
        <v>-1882</v>
      </c>
      <c r="L566">
        <v>-1882</v>
      </c>
      <c r="M566">
        <v>-1633.39</v>
      </c>
      <c r="N566">
        <v>-1633.39</v>
      </c>
      <c r="O566">
        <v>-524.17</v>
      </c>
      <c r="P566">
        <v>-524.17</v>
      </c>
      <c r="Q566" t="s">
        <v>497</v>
      </c>
      <c r="R566"/>
      <c r="S566"/>
      <c r="T566"/>
    </row>
    <row r="567" spans="1:20" customHeight="1" ht="14.5">
      <c r="A567" s="178">
        <v>140</v>
      </c>
      <c r="B567" s="178" t="s">
        <v>468</v>
      </c>
      <c r="C567" s="178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497</v>
      </c>
      <c r="R567"/>
      <c r="S567"/>
      <c r="T567"/>
    </row>
    <row r="568" spans="1:20" customHeight="1" ht="14.5">
      <c r="A568" s="178">
        <v>150</v>
      </c>
      <c r="B568" s="178" t="s">
        <v>469</v>
      </c>
      <c r="C568" s="17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497</v>
      </c>
      <c r="R568"/>
      <c r="S568"/>
      <c r="T568"/>
    </row>
    <row r="569" spans="1:20" customHeight="1" ht="14.5">
      <c r="A569" s="178">
        <v>155</v>
      </c>
      <c r="B569" s="178"/>
      <c r="C569" s="178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497</v>
      </c>
      <c r="R569"/>
      <c r="S569"/>
      <c r="T569"/>
    </row>
    <row r="570" spans="1:20" customHeight="1" ht="14.5">
      <c r="A570" s="178">
        <v>160</v>
      </c>
      <c r="B570" s="178" t="s">
        <v>470</v>
      </c>
      <c r="C570" s="178">
        <v>-2406.17</v>
      </c>
      <c r="D570">
        <v>-2406.17</v>
      </c>
      <c r="E570">
        <v>-772.78</v>
      </c>
      <c r="F570">
        <v>1</v>
      </c>
      <c r="G570">
        <v>-772.78</v>
      </c>
      <c r="H570">
        <v>-772.78</v>
      </c>
      <c r="I570">
        <v>1</v>
      </c>
      <c r="J570">
        <v>-772.78</v>
      </c>
      <c r="K570">
        <v>-1882</v>
      </c>
      <c r="L570">
        <v>-1882</v>
      </c>
      <c r="M570">
        <v>-1633.39</v>
      </c>
      <c r="N570">
        <v>-1633.39</v>
      </c>
      <c r="O570">
        <v>-524.17</v>
      </c>
      <c r="P570">
        <v>-524.17</v>
      </c>
      <c r="Q570" t="s">
        <v>497</v>
      </c>
      <c r="R570"/>
      <c r="S570"/>
      <c r="T570"/>
    </row>
    <row r="571" spans="1:20" customHeight="1" ht="14.5">
      <c r="A571" s="178">
        <v>170</v>
      </c>
      <c r="B571" s="178" t="s">
        <v>477</v>
      </c>
      <c r="C571" s="178">
        <v>33297.23</v>
      </c>
      <c r="D571">
        <v>33297.23</v>
      </c>
      <c r="E571">
        <v>-21662.28</v>
      </c>
      <c r="F571">
        <v>1</v>
      </c>
      <c r="G571">
        <v>-21662.28</v>
      </c>
      <c r="H571">
        <v>-21662.28</v>
      </c>
      <c r="I571">
        <v>1</v>
      </c>
      <c r="J571">
        <v>-21662.28</v>
      </c>
      <c r="K571">
        <v>-5314</v>
      </c>
      <c r="L571">
        <v>-5314</v>
      </c>
      <c r="M571">
        <v>54959.51</v>
      </c>
      <c r="N571">
        <v>54959.51</v>
      </c>
      <c r="O571">
        <v>38611.23</v>
      </c>
      <c r="P571">
        <v>38611.23</v>
      </c>
      <c r="Q571" t="s">
        <v>497</v>
      </c>
      <c r="R571"/>
      <c r="S571"/>
      <c r="T571"/>
    </row>
    <row r="572" spans="1:20">
      <c r="A572" s="178">
        <v>180</v>
      </c>
      <c r="B572" s="178" t="s">
        <v>472</v>
      </c>
      <c r="C572" s="178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497</v>
      </c>
      <c r="R572"/>
      <c r="S572"/>
      <c r="T572"/>
    </row>
    <row r="573" spans="1:20">
      <c r="A573" s="178">
        <v>190</v>
      </c>
      <c r="B573" s="178" t="s">
        <v>473</v>
      </c>
      <c r="C573" s="178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497</v>
      </c>
      <c r="R573"/>
      <c r="S573"/>
      <c r="T573"/>
    </row>
    <row r="574" spans="1:20" customHeight="1" ht="14.5">
      <c r="A574" s="178">
        <v>200</v>
      </c>
      <c r="B574" s="178" t="s">
        <v>474</v>
      </c>
      <c r="C574" s="178">
        <v>33297.23</v>
      </c>
      <c r="D574">
        <v>33297.23</v>
      </c>
      <c r="E574">
        <v>-21662.28</v>
      </c>
      <c r="F574">
        <v>1</v>
      </c>
      <c r="G574">
        <v>-21662.28</v>
      </c>
      <c r="H574">
        <v>-21662.28</v>
      </c>
      <c r="I574">
        <v>1</v>
      </c>
      <c r="J574">
        <v>-21662.28</v>
      </c>
      <c r="K574">
        <v>-5314</v>
      </c>
      <c r="L574">
        <v>-5314</v>
      </c>
      <c r="M574">
        <v>54959.51</v>
      </c>
      <c r="N574">
        <v>54959.51</v>
      </c>
      <c r="O574">
        <v>38611.23</v>
      </c>
      <c r="P574">
        <v>38611.23</v>
      </c>
      <c r="Q574" t="s">
        <v>497</v>
      </c>
      <c r="R574"/>
      <c r="S574"/>
      <c r="T574"/>
    </row>
    <row r="575" spans="1:20" customHeight="1" ht="14.5">
      <c r="A575" s="178">
        <v>210</v>
      </c>
      <c r="B575" s="178" t="s">
        <v>475</v>
      </c>
      <c r="C575" s="178">
        <v>37195.34</v>
      </c>
      <c r="D575">
        <v>37195.34</v>
      </c>
      <c r="E575">
        <v>-17661</v>
      </c>
      <c r="F575">
        <v>1</v>
      </c>
      <c r="G575">
        <v>-17661</v>
      </c>
      <c r="H575">
        <v>-17661</v>
      </c>
      <c r="I575">
        <v>1</v>
      </c>
      <c r="J575">
        <v>-17661</v>
      </c>
      <c r="K575">
        <v>-4208</v>
      </c>
      <c r="L575">
        <v>-4208</v>
      </c>
      <c r="M575">
        <v>54856.34</v>
      </c>
      <c r="N575">
        <v>54856.34</v>
      </c>
      <c r="O575">
        <v>41403.34</v>
      </c>
      <c r="P575">
        <v>41403.34</v>
      </c>
      <c r="Q575" t="s">
        <v>497</v>
      </c>
      <c r="R575"/>
      <c r="S575"/>
      <c r="T575"/>
    </row>
    <row r="576" spans="1:20" s="218" customFormat="1">
      <c r="A576" s="218" t="s">
        <v>484</v>
      </c>
      <c r="B576" s="218" t="s">
        <v>402</v>
      </c>
      <c r="C576" s="218" t="s">
        <v>509</v>
      </c>
      <c r="D576" s="218" t="s">
        <v>510</v>
      </c>
      <c r="E576" s="218" t="s">
        <v>403</v>
      </c>
      <c r="F576" s="218" t="s">
        <v>511</v>
      </c>
      <c r="G576" s="218" t="s">
        <v>512</v>
      </c>
      <c r="H576" s="218" t="s">
        <v>513</v>
      </c>
      <c r="I576" s="218" t="s">
        <v>514</v>
      </c>
      <c r="J576" s="218" t="s">
        <v>515</v>
      </c>
      <c r="K576" s="218" t="s">
        <v>437</v>
      </c>
      <c r="L576" s="218" t="s">
        <v>516</v>
      </c>
      <c r="M576" s="218" t="s">
        <v>530</v>
      </c>
      <c r="N576" s="218" t="s">
        <v>532</v>
      </c>
      <c r="O576" s="218" t="s">
        <v>533</v>
      </c>
      <c r="P576" s="218" t="s">
        <v>534</v>
      </c>
      <c r="Q576" s="218" t="s">
        <v>405</v>
      </c>
      <c r="R576" s="218"/>
      <c r="S576" s="218"/>
      <c r="T576" s="218"/>
    </row>
    <row r="577" spans="1:20" customHeight="1" ht="14.5">
      <c r="A577" s="178">
        <v>30</v>
      </c>
      <c r="B577" s="178" t="s">
        <v>456</v>
      </c>
      <c r="C577" s="178">
        <v>29854.59</v>
      </c>
      <c r="D577">
        <v>29854.59</v>
      </c>
      <c r="E577">
        <v>42121.15</v>
      </c>
      <c r="F577">
        <v>1</v>
      </c>
      <c r="G577">
        <v>42121.15</v>
      </c>
      <c r="H577">
        <v>42121.15</v>
      </c>
      <c r="I577">
        <v>1</v>
      </c>
      <c r="J577">
        <v>42121.15</v>
      </c>
      <c r="K577">
        <v>0</v>
      </c>
      <c r="L577">
        <v>0</v>
      </c>
      <c r="M577">
        <v>-12266.56</v>
      </c>
      <c r="N577">
        <v>-12266.56</v>
      </c>
      <c r="O577">
        <v>29854.59</v>
      </c>
      <c r="P577">
        <v>29854.59</v>
      </c>
      <c r="Q577" t="s">
        <v>497</v>
      </c>
      <c r="R577"/>
      <c r="S577"/>
      <c r="T577"/>
    </row>
    <row r="578" spans="1:20" customHeight="1" ht="14.5">
      <c r="A578" s="178">
        <v>40</v>
      </c>
      <c r="B578" s="178" t="s">
        <v>457</v>
      </c>
      <c r="C578" s="1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497</v>
      </c>
      <c r="R578"/>
      <c r="S578"/>
      <c r="T578"/>
    </row>
    <row r="579" spans="1:20">
      <c r="A579" s="178">
        <v>50</v>
      </c>
      <c r="B579" s="178" t="s">
        <v>458</v>
      </c>
      <c r="C579" s="178">
        <v>29854.59</v>
      </c>
      <c r="D579">
        <v>29854.59</v>
      </c>
      <c r="E579">
        <v>42121.15</v>
      </c>
      <c r="F579">
        <v>1</v>
      </c>
      <c r="G579">
        <v>42121.15</v>
      </c>
      <c r="H579">
        <v>42121.15</v>
      </c>
      <c r="I579">
        <v>1</v>
      </c>
      <c r="J579">
        <v>42121.15</v>
      </c>
      <c r="K579">
        <v>0</v>
      </c>
      <c r="L579">
        <v>0</v>
      </c>
      <c r="M579">
        <v>-12266.56</v>
      </c>
      <c r="N579">
        <v>-12266.56</v>
      </c>
      <c r="O579">
        <v>29854.59</v>
      </c>
      <c r="P579">
        <v>29854.59</v>
      </c>
      <c r="Q579" t="s">
        <v>497</v>
      </c>
      <c r="R579"/>
      <c r="S579"/>
      <c r="T579"/>
    </row>
    <row r="580" spans="1:20">
      <c r="A580" s="178">
        <v>60</v>
      </c>
      <c r="B580" s="178" t="s">
        <v>459</v>
      </c>
      <c r="C580" s="178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497</v>
      </c>
      <c r="R580"/>
      <c r="S580"/>
      <c r="T580"/>
    </row>
    <row r="581" spans="1:20">
      <c r="A581" s="178">
        <v>70</v>
      </c>
      <c r="B581" s="178" t="s">
        <v>461</v>
      </c>
      <c r="C581" s="178">
        <v>29854.59</v>
      </c>
      <c r="D581">
        <v>29854.59</v>
      </c>
      <c r="E581">
        <v>42121.15</v>
      </c>
      <c r="F581">
        <v>1</v>
      </c>
      <c r="G581">
        <v>42121.15</v>
      </c>
      <c r="H581">
        <v>42121.15</v>
      </c>
      <c r="I581">
        <v>1</v>
      </c>
      <c r="J581">
        <v>42121.15</v>
      </c>
      <c r="K581">
        <v>0</v>
      </c>
      <c r="L581">
        <v>0</v>
      </c>
      <c r="M581">
        <v>-12266.56</v>
      </c>
      <c r="N581">
        <v>-12266.56</v>
      </c>
      <c r="O581">
        <v>29854.59</v>
      </c>
      <c r="P581">
        <v>29854.59</v>
      </c>
      <c r="Q581" t="s">
        <v>497</v>
      </c>
      <c r="R581"/>
      <c r="S581"/>
      <c r="T581"/>
    </row>
    <row r="582" spans="1:20" customHeight="1" ht="14.5">
      <c r="A582" s="178">
        <v>80</v>
      </c>
      <c r="B582" s="178" t="s">
        <v>462</v>
      </c>
      <c r="C582" s="178">
        <v>9370.68</v>
      </c>
      <c r="D582">
        <v>9370.68</v>
      </c>
      <c r="E582">
        <v>9301.08</v>
      </c>
      <c r="F582">
        <v>1</v>
      </c>
      <c r="G582">
        <v>9301.08</v>
      </c>
      <c r="H582">
        <v>9301.08</v>
      </c>
      <c r="I582">
        <v>1</v>
      </c>
      <c r="J582">
        <v>9301.08</v>
      </c>
      <c r="K582">
        <v>0</v>
      </c>
      <c r="L582">
        <v>0</v>
      </c>
      <c r="M582">
        <v>69.6</v>
      </c>
      <c r="N582">
        <v>69.6</v>
      </c>
      <c r="O582">
        <v>9370.68</v>
      </c>
      <c r="P582">
        <v>9370.68</v>
      </c>
      <c r="Q582" t="s">
        <v>497</v>
      </c>
      <c r="R582"/>
      <c r="S582"/>
      <c r="T582"/>
    </row>
    <row r="583" spans="1:20" customHeight="1" ht="14.5">
      <c r="A583" s="178">
        <v>90</v>
      </c>
      <c r="B583" s="178" t="s">
        <v>463</v>
      </c>
      <c r="C583" s="178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497</v>
      </c>
      <c r="R583"/>
      <c r="S583"/>
      <c r="T583"/>
    </row>
    <row r="584" spans="1:20" customHeight="1" ht="14.5">
      <c r="A584" s="178">
        <v>100</v>
      </c>
      <c r="B584" s="178" t="s">
        <v>464</v>
      </c>
      <c r="C584" s="178">
        <v>2513.17</v>
      </c>
      <c r="D584">
        <v>2513.17</v>
      </c>
      <c r="E584">
        <v>2513.17</v>
      </c>
      <c r="F584">
        <v>1</v>
      </c>
      <c r="G584">
        <v>2513.17</v>
      </c>
      <c r="H584">
        <v>2513.17</v>
      </c>
      <c r="I584">
        <v>1</v>
      </c>
      <c r="J584">
        <v>2513.17</v>
      </c>
      <c r="K584">
        <v>0</v>
      </c>
      <c r="L584">
        <v>0</v>
      </c>
      <c r="M584">
        <v>0</v>
      </c>
      <c r="N584">
        <v>0</v>
      </c>
      <c r="O584">
        <v>2513.17</v>
      </c>
      <c r="P584">
        <v>2513.17</v>
      </c>
      <c r="Q584" t="s">
        <v>497</v>
      </c>
      <c r="R584"/>
      <c r="S584"/>
      <c r="T584"/>
    </row>
    <row r="585" spans="1:20" customHeight="1" ht="14.5">
      <c r="A585" s="178">
        <v>110</v>
      </c>
      <c r="B585" s="178" t="s">
        <v>465</v>
      </c>
      <c r="C585" s="178">
        <v>11883.85</v>
      </c>
      <c r="D585">
        <v>11883.85</v>
      </c>
      <c r="E585">
        <v>11814.25</v>
      </c>
      <c r="F585">
        <v>1</v>
      </c>
      <c r="G585">
        <v>11814.25</v>
      </c>
      <c r="H585">
        <v>11814.25</v>
      </c>
      <c r="I585">
        <v>1</v>
      </c>
      <c r="J585">
        <v>11814.25</v>
      </c>
      <c r="K585">
        <v>0</v>
      </c>
      <c r="L585">
        <v>0</v>
      </c>
      <c r="M585">
        <v>69.6</v>
      </c>
      <c r="N585">
        <v>69.6</v>
      </c>
      <c r="O585">
        <v>11883.85</v>
      </c>
      <c r="P585">
        <v>11883.85</v>
      </c>
      <c r="Q585" t="s">
        <v>497</v>
      </c>
      <c r="R585"/>
      <c r="S585"/>
      <c r="T585"/>
    </row>
    <row r="586" spans="1:20" customHeight="1" ht="14.5">
      <c r="A586" s="178">
        <v>120</v>
      </c>
      <c r="B586" s="178" t="s">
        <v>466</v>
      </c>
      <c r="C586" s="178">
        <v>17970.74</v>
      </c>
      <c r="D586">
        <v>17970.74</v>
      </c>
      <c r="E586">
        <v>30306.9</v>
      </c>
      <c r="F586">
        <v>1</v>
      </c>
      <c r="G586">
        <v>30306.9</v>
      </c>
      <c r="H586">
        <v>30306.9</v>
      </c>
      <c r="I586">
        <v>1</v>
      </c>
      <c r="J586">
        <v>30306.9</v>
      </c>
      <c r="K586">
        <v>0</v>
      </c>
      <c r="L586">
        <v>0</v>
      </c>
      <c r="M586">
        <v>-12336.16</v>
      </c>
      <c r="N586">
        <v>-12336.16</v>
      </c>
      <c r="O586">
        <v>17970.74</v>
      </c>
      <c r="P586">
        <v>17970.74</v>
      </c>
      <c r="Q586" t="s">
        <v>497</v>
      </c>
      <c r="R586"/>
      <c r="S586"/>
      <c r="T586"/>
    </row>
    <row r="587" spans="1:20" customHeight="1" ht="14.5">
      <c r="A587" s="178">
        <v>130</v>
      </c>
      <c r="B587" s="178" t="s">
        <v>417</v>
      </c>
      <c r="C587" s="178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497</v>
      </c>
      <c r="R587"/>
      <c r="S587"/>
      <c r="T587"/>
    </row>
    <row r="588" spans="1:20" customHeight="1" ht="14.5">
      <c r="A588" s="178">
        <v>135</v>
      </c>
      <c r="B588" s="178" t="s">
        <v>467</v>
      </c>
      <c r="C588" s="17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497</v>
      </c>
      <c r="R588"/>
      <c r="S588"/>
      <c r="T588"/>
    </row>
    <row r="589" spans="1:20" customHeight="1" ht="14.5">
      <c r="A589" s="178">
        <v>140</v>
      </c>
      <c r="B589" s="178" t="s">
        <v>468</v>
      </c>
      <c r="C589" s="178">
        <v>2537.37</v>
      </c>
      <c r="D589">
        <v>2537.37</v>
      </c>
      <c r="E589">
        <v>3521.16</v>
      </c>
      <c r="F589">
        <v>1</v>
      </c>
      <c r="G589">
        <v>3521.16</v>
      </c>
      <c r="H589">
        <v>3521.16</v>
      </c>
      <c r="I589">
        <v>1</v>
      </c>
      <c r="J589">
        <v>3521.16</v>
      </c>
      <c r="K589">
        <v>0</v>
      </c>
      <c r="L589">
        <v>0</v>
      </c>
      <c r="M589">
        <v>-983.79</v>
      </c>
      <c r="N589">
        <v>-983.79</v>
      </c>
      <c r="O589">
        <v>2537.37</v>
      </c>
      <c r="P589">
        <v>2537.37</v>
      </c>
      <c r="Q589" t="s">
        <v>497</v>
      </c>
      <c r="R589"/>
      <c r="S589"/>
      <c r="T589"/>
    </row>
    <row r="590" spans="1:20" customHeight="1" ht="14.5">
      <c r="A590" s="178">
        <v>150</v>
      </c>
      <c r="B590" s="178" t="s">
        <v>469</v>
      </c>
      <c r="C590" s="178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497</v>
      </c>
      <c r="R590"/>
      <c r="S590"/>
      <c r="T590"/>
    </row>
    <row r="591" spans="1:20" customHeight="1" ht="14.5">
      <c r="A591" s="178">
        <v>155</v>
      </c>
      <c r="B591" s="178" t="s">
        <v>421</v>
      </c>
      <c r="C591" s="178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497</v>
      </c>
      <c r="R591"/>
      <c r="S591"/>
      <c r="T591"/>
    </row>
    <row r="592" spans="1:20" customHeight="1" ht="14.5">
      <c r="A592" s="178">
        <v>160</v>
      </c>
      <c r="B592" s="178" t="s">
        <v>470</v>
      </c>
      <c r="C592" s="178">
        <v>2537.37</v>
      </c>
      <c r="D592">
        <v>2537.37</v>
      </c>
      <c r="E592">
        <v>3521.16</v>
      </c>
      <c r="F592">
        <v>1</v>
      </c>
      <c r="G592">
        <v>3521.16</v>
      </c>
      <c r="H592">
        <v>3521.16</v>
      </c>
      <c r="I592">
        <v>1</v>
      </c>
      <c r="J592">
        <v>3521.16</v>
      </c>
      <c r="K592">
        <v>0</v>
      </c>
      <c r="L592">
        <v>0</v>
      </c>
      <c r="M592">
        <v>-983.79</v>
      </c>
      <c r="N592">
        <v>-983.79</v>
      </c>
      <c r="O592">
        <v>2537.37</v>
      </c>
      <c r="P592">
        <v>2537.37</v>
      </c>
      <c r="Q592" t="s">
        <v>497</v>
      </c>
      <c r="R592"/>
      <c r="S592"/>
      <c r="T592"/>
    </row>
    <row r="593" spans="1:20" customHeight="1" ht="14.5">
      <c r="A593" s="178">
        <v>170</v>
      </c>
      <c r="B593" s="178" t="s">
        <v>481</v>
      </c>
      <c r="C593" s="178">
        <v>15433.37</v>
      </c>
      <c r="D593">
        <v>15433.37</v>
      </c>
      <c r="E593">
        <v>26785.74</v>
      </c>
      <c r="F593">
        <v>1</v>
      </c>
      <c r="G593">
        <v>26785.74</v>
      </c>
      <c r="H593">
        <v>26785.74</v>
      </c>
      <c r="I593">
        <v>1</v>
      </c>
      <c r="J593">
        <v>26785.74</v>
      </c>
      <c r="K593">
        <v>0</v>
      </c>
      <c r="L593">
        <v>0</v>
      </c>
      <c r="M593">
        <v>-11352.37</v>
      </c>
      <c r="N593">
        <v>-11352.37</v>
      </c>
      <c r="O593">
        <v>15433.37</v>
      </c>
      <c r="P593">
        <v>15433.37</v>
      </c>
      <c r="Q593" t="s">
        <v>497</v>
      </c>
      <c r="R593"/>
      <c r="S593"/>
      <c r="T593"/>
    </row>
    <row r="594" spans="1:20">
      <c r="A594" s="178">
        <v>180</v>
      </c>
      <c r="B594" s="178" t="s">
        <v>482</v>
      </c>
      <c r="C594" s="178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497</v>
      </c>
      <c r="R594"/>
      <c r="S594"/>
      <c r="T594"/>
    </row>
    <row r="595" spans="1:20">
      <c r="A595" s="178">
        <v>190</v>
      </c>
      <c r="B595" s="178" t="s">
        <v>472</v>
      </c>
      <c r="C595" s="178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497</v>
      </c>
      <c r="R595"/>
      <c r="S595"/>
      <c r="T595"/>
    </row>
    <row r="596" spans="1:20" customHeight="1" ht="14.5">
      <c r="A596" s="178">
        <v>200</v>
      </c>
      <c r="B596" s="178" t="s">
        <v>474</v>
      </c>
      <c r="C596" s="178">
        <v>15433.37</v>
      </c>
      <c r="D596">
        <v>15433.37</v>
      </c>
      <c r="E596">
        <v>26785.74</v>
      </c>
      <c r="F596">
        <v>1</v>
      </c>
      <c r="G596">
        <v>26785.74</v>
      </c>
      <c r="H596">
        <v>26785.74</v>
      </c>
      <c r="I596">
        <v>1</v>
      </c>
      <c r="J596">
        <v>26785.74</v>
      </c>
      <c r="K596">
        <v>0</v>
      </c>
      <c r="L596">
        <v>0</v>
      </c>
      <c r="M596">
        <v>-11352.37</v>
      </c>
      <c r="N596">
        <v>-11352.37</v>
      </c>
      <c r="O596">
        <v>15433.37</v>
      </c>
      <c r="P596">
        <v>15433.37</v>
      </c>
      <c r="Q596" t="s">
        <v>497</v>
      </c>
      <c r="R596"/>
      <c r="S596"/>
      <c r="T596"/>
    </row>
    <row r="597" spans="1:20" customHeight="1" ht="14.5">
      <c r="A597" s="178">
        <v>210</v>
      </c>
      <c r="B597" s="178" t="s">
        <v>475</v>
      </c>
      <c r="C597" s="178">
        <v>20483.91</v>
      </c>
      <c r="D597">
        <v>20483.91</v>
      </c>
      <c r="E597">
        <v>32820.07</v>
      </c>
      <c r="F597">
        <v>1</v>
      </c>
      <c r="G597">
        <v>32820.07</v>
      </c>
      <c r="H597">
        <v>32820.07</v>
      </c>
      <c r="I597">
        <v>1</v>
      </c>
      <c r="J597">
        <v>32820.07</v>
      </c>
      <c r="K597">
        <v>0</v>
      </c>
      <c r="L597">
        <v>0</v>
      </c>
      <c r="M597">
        <v>-12336.16</v>
      </c>
      <c r="N597">
        <v>-12336.16</v>
      </c>
      <c r="O597">
        <v>20483.91</v>
      </c>
      <c r="P597">
        <v>20483.91</v>
      </c>
      <c r="Q597" t="s">
        <v>497</v>
      </c>
      <c r="R597"/>
      <c r="S597"/>
      <c r="T597"/>
    </row>
    <row r="598" spans="1:20" s="182" customFormat="1">
      <c r="A598" s="182" t="s">
        <v>485</v>
      </c>
      <c r="B598" s="182" t="s">
        <v>402</v>
      </c>
      <c r="C598" s="182" t="s">
        <v>509</v>
      </c>
      <c r="D598" s="182" t="s">
        <v>510</v>
      </c>
      <c r="E598" s="182" t="s">
        <v>403</v>
      </c>
      <c r="F598" s="182" t="s">
        <v>511</v>
      </c>
      <c r="G598" s="182" t="s">
        <v>512</v>
      </c>
      <c r="H598" s="182" t="s">
        <v>513</v>
      </c>
      <c r="I598" s="182" t="s">
        <v>514</v>
      </c>
      <c r="J598" s="182" t="s">
        <v>515</v>
      </c>
      <c r="K598" s="182" t="s">
        <v>437</v>
      </c>
      <c r="L598" s="182" t="s">
        <v>516</v>
      </c>
      <c r="M598" s="182" t="s">
        <v>530</v>
      </c>
      <c r="N598" s="182" t="s">
        <v>532</v>
      </c>
      <c r="O598" s="182" t="s">
        <v>533</v>
      </c>
      <c r="P598" s="182" t="s">
        <v>534</v>
      </c>
      <c r="Q598" s="182" t="s">
        <v>405</v>
      </c>
      <c r="R598" s="182"/>
      <c r="S598" s="182"/>
      <c r="T598" s="182"/>
    </row>
    <row r="599" spans="1:20" customHeight="1" ht="14.5">
      <c r="A599" s="178">
        <v>30</v>
      </c>
      <c r="B599" s="178" t="s">
        <v>456</v>
      </c>
      <c r="C599" s="178">
        <v>473380.46</v>
      </c>
      <c r="D599">
        <v>473380.46</v>
      </c>
      <c r="E599">
        <v>372442.2</v>
      </c>
      <c r="F599">
        <v>1</v>
      </c>
      <c r="G599">
        <v>372442.2</v>
      </c>
      <c r="H599">
        <v>372442.2</v>
      </c>
      <c r="I599">
        <v>1</v>
      </c>
      <c r="J599">
        <v>372442.2</v>
      </c>
      <c r="K599">
        <v>297336</v>
      </c>
      <c r="L599">
        <v>297336</v>
      </c>
      <c r="M599">
        <v>100938.26</v>
      </c>
      <c r="N599">
        <v>100938.26</v>
      </c>
      <c r="O599">
        <v>176044.46</v>
      </c>
      <c r="P599">
        <v>176044.46</v>
      </c>
      <c r="Q599" t="s">
        <v>497</v>
      </c>
      <c r="R599"/>
      <c r="S599"/>
      <c r="T599"/>
    </row>
    <row r="600" spans="1:20" customHeight="1" ht="14.5">
      <c r="A600" s="178">
        <v>40</v>
      </c>
      <c r="B600" s="178" t="s">
        <v>457</v>
      </c>
      <c r="C600" s="178">
        <v>87993.78</v>
      </c>
      <c r="D600">
        <v>87993.78</v>
      </c>
      <c r="E600">
        <v>93014.47</v>
      </c>
      <c r="F600">
        <v>1</v>
      </c>
      <c r="G600">
        <v>93014.47</v>
      </c>
      <c r="H600">
        <v>93014.47</v>
      </c>
      <c r="I600">
        <v>1</v>
      </c>
      <c r="J600">
        <v>93014.47</v>
      </c>
      <c r="K600">
        <v>0</v>
      </c>
      <c r="L600">
        <v>0</v>
      </c>
      <c r="M600">
        <v>-5020.69</v>
      </c>
      <c r="N600">
        <v>-5020.69</v>
      </c>
      <c r="O600">
        <v>87993.78</v>
      </c>
      <c r="P600">
        <v>87993.78</v>
      </c>
      <c r="Q600" t="s">
        <v>497</v>
      </c>
      <c r="R600"/>
      <c r="S600"/>
      <c r="T600"/>
    </row>
    <row r="601" spans="1:20">
      <c r="A601" s="178">
        <v>50</v>
      </c>
      <c r="B601" s="178" t="s">
        <v>458</v>
      </c>
      <c r="C601" s="178">
        <v>385386.68</v>
      </c>
      <c r="D601">
        <v>385386.68</v>
      </c>
      <c r="E601">
        <v>279427.73</v>
      </c>
      <c r="F601">
        <v>1</v>
      </c>
      <c r="G601">
        <v>279427.73</v>
      </c>
      <c r="H601">
        <v>279427.73</v>
      </c>
      <c r="I601">
        <v>1</v>
      </c>
      <c r="J601">
        <v>279427.73</v>
      </c>
      <c r="K601">
        <v>297336</v>
      </c>
      <c r="L601">
        <v>297336</v>
      </c>
      <c r="M601">
        <v>105958.95</v>
      </c>
      <c r="N601">
        <v>105958.95</v>
      </c>
      <c r="O601">
        <v>88050.68</v>
      </c>
      <c r="P601">
        <v>88050.68</v>
      </c>
      <c r="Q601" t="s">
        <v>497</v>
      </c>
      <c r="R601"/>
      <c r="S601"/>
      <c r="T601"/>
    </row>
    <row r="602" spans="1:20">
      <c r="A602" s="178">
        <v>60</v>
      </c>
      <c r="B602" s="178" t="s">
        <v>459</v>
      </c>
      <c r="C602" s="178">
        <v>116851.26</v>
      </c>
      <c r="D602">
        <v>116851.26</v>
      </c>
      <c r="E602">
        <v>94524.89</v>
      </c>
      <c r="F602">
        <v>1</v>
      </c>
      <c r="G602">
        <v>94524.89</v>
      </c>
      <c r="H602">
        <v>94524.89</v>
      </c>
      <c r="I602">
        <v>1</v>
      </c>
      <c r="J602">
        <v>94524.89</v>
      </c>
      <c r="K602">
        <v>93661</v>
      </c>
      <c r="L602">
        <v>93661</v>
      </c>
      <c r="M602">
        <v>22326.37</v>
      </c>
      <c r="N602">
        <v>22326.37</v>
      </c>
      <c r="O602">
        <v>23190.26</v>
      </c>
      <c r="P602">
        <v>23190.26</v>
      </c>
      <c r="Q602" t="s">
        <v>497</v>
      </c>
      <c r="R602"/>
      <c r="S602"/>
      <c r="T602"/>
    </row>
    <row r="603" spans="1:20">
      <c r="A603" s="178">
        <v>65</v>
      </c>
      <c r="B603" s="178" t="s">
        <v>460</v>
      </c>
      <c r="C603" s="178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497</v>
      </c>
      <c r="R603"/>
      <c r="S603"/>
      <c r="T603"/>
    </row>
    <row r="604" spans="1:20">
      <c r="A604" s="178">
        <v>70</v>
      </c>
      <c r="B604" s="178" t="s">
        <v>461</v>
      </c>
      <c r="C604" s="178">
        <v>268535.42</v>
      </c>
      <c r="D604">
        <v>268535.42</v>
      </c>
      <c r="E604">
        <v>184902.84</v>
      </c>
      <c r="F604">
        <v>1</v>
      </c>
      <c r="G604">
        <v>184902.84</v>
      </c>
      <c r="H604">
        <v>184902.84</v>
      </c>
      <c r="I604">
        <v>1</v>
      </c>
      <c r="J604">
        <v>184902.84</v>
      </c>
      <c r="K604">
        <v>203675</v>
      </c>
      <c r="L604">
        <v>203675</v>
      </c>
      <c r="M604">
        <v>83632.58</v>
      </c>
      <c r="N604">
        <v>83632.58</v>
      </c>
      <c r="O604">
        <v>64860.42</v>
      </c>
      <c r="P604">
        <v>64860.42</v>
      </c>
      <c r="Q604" t="s">
        <v>497</v>
      </c>
      <c r="R604"/>
      <c r="S604"/>
      <c r="T604"/>
    </row>
    <row r="605" spans="1:20" customHeight="1" ht="14.5">
      <c r="A605" s="178">
        <v>80</v>
      </c>
      <c r="B605" s="178" t="s">
        <v>462</v>
      </c>
      <c r="C605" s="178">
        <v>230566.26</v>
      </c>
      <c r="D605">
        <v>230566.26</v>
      </c>
      <c r="E605">
        <v>195328</v>
      </c>
      <c r="F605">
        <v>1</v>
      </c>
      <c r="G605">
        <v>195328</v>
      </c>
      <c r="H605">
        <v>195328</v>
      </c>
      <c r="I605">
        <v>1</v>
      </c>
      <c r="J605">
        <v>195328</v>
      </c>
      <c r="K605">
        <v>200452</v>
      </c>
      <c r="L605">
        <v>200452</v>
      </c>
      <c r="M605">
        <v>35238.26</v>
      </c>
      <c r="N605">
        <v>35238.26</v>
      </c>
      <c r="O605">
        <v>30114.26</v>
      </c>
      <c r="P605">
        <v>30114.26</v>
      </c>
      <c r="Q605" t="s">
        <v>497</v>
      </c>
      <c r="R605"/>
      <c r="S605"/>
      <c r="T605"/>
    </row>
    <row r="606" spans="1:20" customHeight="1" ht="14.5">
      <c r="A606" s="178">
        <v>90</v>
      </c>
      <c r="B606" s="178" t="s">
        <v>463</v>
      </c>
      <c r="C606" s="178">
        <v>8041.41</v>
      </c>
      <c r="D606">
        <v>8041.41</v>
      </c>
      <c r="E606">
        <v>13645.4</v>
      </c>
      <c r="F606">
        <v>1</v>
      </c>
      <c r="G606">
        <v>13645.4</v>
      </c>
      <c r="H606">
        <v>13645.4</v>
      </c>
      <c r="I606">
        <v>1</v>
      </c>
      <c r="J606">
        <v>13645.4</v>
      </c>
      <c r="K606">
        <v>15667</v>
      </c>
      <c r="L606">
        <v>15667</v>
      </c>
      <c r="M606">
        <v>-5603.99</v>
      </c>
      <c r="N606">
        <v>-5603.99</v>
      </c>
      <c r="O606">
        <v>-7625.59</v>
      </c>
      <c r="P606">
        <v>-7625.59</v>
      </c>
      <c r="Q606" t="s">
        <v>497</v>
      </c>
      <c r="R606"/>
      <c r="S606"/>
      <c r="T606"/>
    </row>
    <row r="607" spans="1:20" customHeight="1" ht="14.5">
      <c r="A607" s="178">
        <v>100</v>
      </c>
      <c r="B607" s="178" t="s">
        <v>464</v>
      </c>
      <c r="C607" s="178">
        <v>5119.02</v>
      </c>
      <c r="D607">
        <v>5119.02</v>
      </c>
      <c r="E607">
        <v>5566.67</v>
      </c>
      <c r="F607">
        <v>1</v>
      </c>
      <c r="G607">
        <v>5566.67</v>
      </c>
      <c r="H607">
        <v>5566.67</v>
      </c>
      <c r="I607">
        <v>1</v>
      </c>
      <c r="J607">
        <v>5566.67</v>
      </c>
      <c r="K607">
        <v>5119</v>
      </c>
      <c r="L607">
        <v>5119</v>
      </c>
      <c r="M607">
        <v>-447.65</v>
      </c>
      <c r="N607">
        <v>-447.65</v>
      </c>
      <c r="O607">
        <v>0.02</v>
      </c>
      <c r="P607">
        <v>0.02</v>
      </c>
      <c r="Q607" t="s">
        <v>497</v>
      </c>
      <c r="R607"/>
      <c r="S607"/>
      <c r="T607"/>
    </row>
    <row r="608" spans="1:20" customHeight="1" ht="14.5">
      <c r="A608" s="178">
        <v>110</v>
      </c>
      <c r="B608" s="178" t="s">
        <v>465</v>
      </c>
      <c r="C608" s="178">
        <v>243726.69</v>
      </c>
      <c r="D608">
        <v>243726.69</v>
      </c>
      <c r="E608">
        <v>214540.07</v>
      </c>
      <c r="F608">
        <v>1</v>
      </c>
      <c r="G608">
        <v>214540.07</v>
      </c>
      <c r="H608">
        <v>214540.07</v>
      </c>
      <c r="I608">
        <v>1</v>
      </c>
      <c r="J608">
        <v>214540.07</v>
      </c>
      <c r="K608">
        <v>221238</v>
      </c>
      <c r="L608">
        <v>221238</v>
      </c>
      <c r="M608">
        <v>29186.62</v>
      </c>
      <c r="N608">
        <v>29186.62</v>
      </c>
      <c r="O608">
        <v>22488.69</v>
      </c>
      <c r="P608">
        <v>22488.69</v>
      </c>
      <c r="Q608" t="s">
        <v>497</v>
      </c>
      <c r="R608"/>
      <c r="S608"/>
      <c r="T608"/>
    </row>
    <row r="609" spans="1:20" customHeight="1" ht="14.5">
      <c r="A609" s="178">
        <v>120</v>
      </c>
      <c r="B609" s="178" t="s">
        <v>466</v>
      </c>
      <c r="C609" s="178">
        <v>24808.73</v>
      </c>
      <c r="D609">
        <v>24808.73</v>
      </c>
      <c r="E609">
        <v>-29637.23</v>
      </c>
      <c r="F609">
        <v>1</v>
      </c>
      <c r="G609">
        <v>-29637.23</v>
      </c>
      <c r="H609">
        <v>-29637.23</v>
      </c>
      <c r="I609">
        <v>1</v>
      </c>
      <c r="J609">
        <v>-29637.23</v>
      </c>
      <c r="K609">
        <v>-17563</v>
      </c>
      <c r="L609">
        <v>-17563</v>
      </c>
      <c r="M609">
        <v>54445.96</v>
      </c>
      <c r="N609">
        <v>54445.96</v>
      </c>
      <c r="O609">
        <v>42371.73</v>
      </c>
      <c r="P609">
        <v>42371.73</v>
      </c>
      <c r="Q609" t="s">
        <v>497</v>
      </c>
      <c r="R609"/>
      <c r="S609"/>
      <c r="T609"/>
    </row>
    <row r="610" spans="1:20" customHeight="1" ht="14.5">
      <c r="A610" s="178">
        <v>130</v>
      </c>
      <c r="B610" s="178"/>
      <c r="C610" s="178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497</v>
      </c>
      <c r="R610"/>
      <c r="S610"/>
      <c r="T610"/>
    </row>
    <row r="611" spans="1:20" customHeight="1" ht="14.5">
      <c r="A611" s="178">
        <v>135</v>
      </c>
      <c r="B611" s="178" t="s">
        <v>467</v>
      </c>
      <c r="C611" s="178">
        <v>-2449.35</v>
      </c>
      <c r="D611">
        <v>-2449.35</v>
      </c>
      <c r="E611">
        <v>-1504.38</v>
      </c>
      <c r="F611">
        <v>1</v>
      </c>
      <c r="G611">
        <v>-1504.38</v>
      </c>
      <c r="H611">
        <v>-1504.38</v>
      </c>
      <c r="I611">
        <v>1</v>
      </c>
      <c r="J611">
        <v>-1504.38</v>
      </c>
      <c r="K611">
        <v>-1308</v>
      </c>
      <c r="L611">
        <v>-1308</v>
      </c>
      <c r="M611">
        <v>-944.97</v>
      </c>
      <c r="N611">
        <v>-944.97</v>
      </c>
      <c r="O611">
        <v>-1141.35</v>
      </c>
      <c r="P611">
        <v>-1141.35</v>
      </c>
      <c r="Q611" t="s">
        <v>497</v>
      </c>
      <c r="R611"/>
      <c r="S611"/>
      <c r="T611"/>
    </row>
    <row r="612" spans="1:20" customHeight="1" ht="14.5">
      <c r="A612" s="178">
        <v>140</v>
      </c>
      <c r="B612" s="178" t="s">
        <v>468</v>
      </c>
      <c r="C612" s="178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497</v>
      </c>
      <c r="R612"/>
      <c r="S612"/>
      <c r="T612"/>
    </row>
    <row r="613" spans="1:20" customHeight="1" ht="14.5">
      <c r="A613" s="178">
        <v>150</v>
      </c>
      <c r="B613" s="178" t="s">
        <v>469</v>
      </c>
      <c r="C613" s="178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497</v>
      </c>
      <c r="R613"/>
      <c r="S613"/>
      <c r="T613"/>
    </row>
    <row r="614" spans="1:20" customHeight="1" ht="14.5">
      <c r="A614" s="178">
        <v>155</v>
      </c>
      <c r="B614" s="178"/>
      <c r="C614" s="178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497</v>
      </c>
      <c r="R614"/>
      <c r="S614"/>
      <c r="T614"/>
    </row>
    <row r="615" spans="1:20" customHeight="1" ht="14.5">
      <c r="A615" s="178">
        <v>160</v>
      </c>
      <c r="B615" s="178" t="s">
        <v>470</v>
      </c>
      <c r="C615" s="178">
        <v>-2449.35</v>
      </c>
      <c r="D615">
        <v>-2449.35</v>
      </c>
      <c r="E615">
        <v>-1504.38</v>
      </c>
      <c r="F615">
        <v>1</v>
      </c>
      <c r="G615">
        <v>-1504.38</v>
      </c>
      <c r="H615">
        <v>-1504.38</v>
      </c>
      <c r="I615">
        <v>1</v>
      </c>
      <c r="J615">
        <v>-1504.38</v>
      </c>
      <c r="K615">
        <v>-1308</v>
      </c>
      <c r="L615">
        <v>-1308</v>
      </c>
      <c r="M615">
        <v>-944.97</v>
      </c>
      <c r="N615">
        <v>-944.97</v>
      </c>
      <c r="O615">
        <v>-1141.35</v>
      </c>
      <c r="P615">
        <v>-1141.35</v>
      </c>
      <c r="Q615" t="s">
        <v>497</v>
      </c>
      <c r="R615"/>
      <c r="S615"/>
      <c r="T615"/>
    </row>
    <row r="616" spans="1:20" customHeight="1" ht="14.5">
      <c r="A616" s="178">
        <v>170</v>
      </c>
      <c r="B616" s="178" t="s">
        <v>477</v>
      </c>
      <c r="C616" s="178">
        <v>27258.08</v>
      </c>
      <c r="D616">
        <v>27258.08</v>
      </c>
      <c r="E616">
        <v>-28132.85</v>
      </c>
      <c r="F616">
        <v>1</v>
      </c>
      <c r="G616">
        <v>-28132.85</v>
      </c>
      <c r="H616">
        <v>-28132.85</v>
      </c>
      <c r="I616">
        <v>1</v>
      </c>
      <c r="J616">
        <v>-28132.85</v>
      </c>
      <c r="K616">
        <v>-16255</v>
      </c>
      <c r="L616">
        <v>-16255</v>
      </c>
      <c r="M616">
        <v>55390.93</v>
      </c>
      <c r="N616">
        <v>55390.93</v>
      </c>
      <c r="O616">
        <v>43513.08</v>
      </c>
      <c r="P616">
        <v>43513.08</v>
      </c>
      <c r="Q616" t="s">
        <v>497</v>
      </c>
      <c r="R616"/>
      <c r="S616"/>
      <c r="T616"/>
    </row>
    <row r="617" spans="1:20">
      <c r="A617" s="178">
        <v>180</v>
      </c>
      <c r="B617" s="178" t="s">
        <v>472</v>
      </c>
      <c r="C617" s="178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497</v>
      </c>
      <c r="R617"/>
      <c r="S617"/>
      <c r="T617"/>
    </row>
    <row r="618" spans="1:20">
      <c r="A618" s="178">
        <v>190</v>
      </c>
      <c r="B618" s="178" t="s">
        <v>473</v>
      </c>
      <c r="C618" s="17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497</v>
      </c>
      <c r="R618"/>
      <c r="S618"/>
      <c r="T618"/>
    </row>
    <row r="619" spans="1:20" customHeight="1" ht="14.5">
      <c r="A619" s="178">
        <v>200</v>
      </c>
      <c r="B619" s="178" t="s">
        <v>474</v>
      </c>
      <c r="C619" s="178">
        <v>27258.08</v>
      </c>
      <c r="D619">
        <v>27258.08</v>
      </c>
      <c r="E619">
        <v>-28132.85</v>
      </c>
      <c r="F619">
        <v>1</v>
      </c>
      <c r="G619">
        <v>-28132.85</v>
      </c>
      <c r="H619">
        <v>-28132.85</v>
      </c>
      <c r="I619">
        <v>1</v>
      </c>
      <c r="J619">
        <v>-28132.85</v>
      </c>
      <c r="K619">
        <v>-16255</v>
      </c>
      <c r="L619">
        <v>-16255</v>
      </c>
      <c r="M619">
        <v>55390.93</v>
      </c>
      <c r="N619">
        <v>55390.93</v>
      </c>
      <c r="O619">
        <v>43513.08</v>
      </c>
      <c r="P619">
        <v>43513.08</v>
      </c>
      <c r="Q619" t="s">
        <v>497</v>
      </c>
      <c r="R619"/>
      <c r="S619"/>
      <c r="T619"/>
    </row>
    <row r="620" spans="1:20" customHeight="1" ht="14.5">
      <c r="A620" s="178">
        <v>210</v>
      </c>
      <c r="B620" s="178" t="s">
        <v>475</v>
      </c>
      <c r="C620" s="178">
        <v>29927.75</v>
      </c>
      <c r="D620">
        <v>29927.75</v>
      </c>
      <c r="E620">
        <v>-24070.56</v>
      </c>
      <c r="F620">
        <v>1</v>
      </c>
      <c r="G620">
        <v>-24070.56</v>
      </c>
      <c r="H620">
        <v>-24070.56</v>
      </c>
      <c r="I620">
        <v>1</v>
      </c>
      <c r="J620">
        <v>-24070.56</v>
      </c>
      <c r="K620">
        <v>-12444</v>
      </c>
      <c r="L620">
        <v>-12444</v>
      </c>
      <c r="M620">
        <v>53998.31</v>
      </c>
      <c r="N620">
        <v>53998.31</v>
      </c>
      <c r="O620">
        <v>42371.75</v>
      </c>
      <c r="P620">
        <v>42371.75</v>
      </c>
      <c r="Q620" t="s">
        <v>497</v>
      </c>
      <c r="R620"/>
      <c r="S620"/>
      <c r="T620"/>
    </row>
    <row r="621" spans="1:20" s="218" customFormat="1">
      <c r="A621" s="218" t="s">
        <v>486</v>
      </c>
      <c r="B621" s="218" t="s">
        <v>402</v>
      </c>
      <c r="C621" s="218" t="s">
        <v>509</v>
      </c>
      <c r="D621" s="218" t="s">
        <v>510</v>
      </c>
      <c r="E621" s="218" t="s">
        <v>403</v>
      </c>
      <c r="F621" s="218" t="s">
        <v>511</v>
      </c>
      <c r="G621" s="218" t="s">
        <v>512</v>
      </c>
      <c r="H621" s="218" t="s">
        <v>513</v>
      </c>
      <c r="I621" s="218" t="s">
        <v>514</v>
      </c>
      <c r="J621" s="218" t="s">
        <v>515</v>
      </c>
      <c r="K621" s="218" t="s">
        <v>437</v>
      </c>
      <c r="L621" s="218" t="s">
        <v>516</v>
      </c>
      <c r="M621" s="218" t="s">
        <v>530</v>
      </c>
      <c r="N621" s="218" t="s">
        <v>532</v>
      </c>
      <c r="O621" s="218" t="s">
        <v>533</v>
      </c>
      <c r="P621" s="218" t="s">
        <v>534</v>
      </c>
      <c r="Q621" s="218" t="s">
        <v>405</v>
      </c>
      <c r="R621" s="218"/>
      <c r="S621" s="218"/>
      <c r="T621" s="218"/>
    </row>
    <row r="622" spans="1:20" customHeight="1" ht="14.5">
      <c r="A622" s="178">
        <v>30</v>
      </c>
      <c r="B622" s="178" t="s">
        <v>456</v>
      </c>
      <c r="C622" s="178">
        <v>19984.28</v>
      </c>
      <c r="D622">
        <v>19984.28</v>
      </c>
      <c r="E622">
        <v>31058.65</v>
      </c>
      <c r="F622">
        <v>1</v>
      </c>
      <c r="G622">
        <v>31058.65</v>
      </c>
      <c r="H622">
        <v>31058.65</v>
      </c>
      <c r="I622">
        <v>1</v>
      </c>
      <c r="J622">
        <v>31058.65</v>
      </c>
      <c r="K622">
        <v>0</v>
      </c>
      <c r="L622">
        <v>0</v>
      </c>
      <c r="M622">
        <v>-11074.37</v>
      </c>
      <c r="N622">
        <v>-11074.37</v>
      </c>
      <c r="O622">
        <v>19984.28</v>
      </c>
      <c r="P622">
        <v>19984.28</v>
      </c>
      <c r="Q622" t="s">
        <v>497</v>
      </c>
      <c r="R622"/>
      <c r="S622"/>
      <c r="T622"/>
    </row>
    <row r="623" spans="1:20" customHeight="1" ht="14.5">
      <c r="A623" s="178">
        <v>40</v>
      </c>
      <c r="B623" s="178" t="s">
        <v>457</v>
      </c>
      <c r="C623" s="178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497</v>
      </c>
      <c r="R623"/>
      <c r="S623"/>
      <c r="T623"/>
    </row>
    <row r="624" spans="1:20">
      <c r="A624" s="178">
        <v>50</v>
      </c>
      <c r="B624" s="178" t="s">
        <v>458</v>
      </c>
      <c r="C624" s="178">
        <v>19984.28</v>
      </c>
      <c r="D624">
        <v>19984.28</v>
      </c>
      <c r="E624">
        <v>31058.65</v>
      </c>
      <c r="F624">
        <v>1</v>
      </c>
      <c r="G624">
        <v>31058.65</v>
      </c>
      <c r="H624">
        <v>31058.65</v>
      </c>
      <c r="I624">
        <v>1</v>
      </c>
      <c r="J624">
        <v>31058.65</v>
      </c>
      <c r="K624">
        <v>0</v>
      </c>
      <c r="L624">
        <v>0</v>
      </c>
      <c r="M624">
        <v>-11074.37</v>
      </c>
      <c r="N624">
        <v>-11074.37</v>
      </c>
      <c r="O624">
        <v>19984.28</v>
      </c>
      <c r="P624">
        <v>19984.28</v>
      </c>
      <c r="Q624" t="s">
        <v>497</v>
      </c>
      <c r="R624"/>
      <c r="S624"/>
      <c r="T624"/>
    </row>
    <row r="625" spans="1:20">
      <c r="A625" s="178">
        <v>60</v>
      </c>
      <c r="B625" s="178" t="s">
        <v>459</v>
      </c>
      <c r="C625" s="178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497</v>
      </c>
      <c r="R625"/>
      <c r="S625"/>
      <c r="T625"/>
    </row>
    <row r="626" spans="1:20">
      <c r="A626" s="178">
        <v>70</v>
      </c>
      <c r="B626" s="178" t="s">
        <v>461</v>
      </c>
      <c r="C626" s="178">
        <v>19984.28</v>
      </c>
      <c r="D626">
        <v>19984.28</v>
      </c>
      <c r="E626">
        <v>31058.65</v>
      </c>
      <c r="F626">
        <v>1</v>
      </c>
      <c r="G626">
        <v>31058.65</v>
      </c>
      <c r="H626">
        <v>31058.65</v>
      </c>
      <c r="I626">
        <v>1</v>
      </c>
      <c r="J626">
        <v>31058.65</v>
      </c>
      <c r="K626">
        <v>0</v>
      </c>
      <c r="L626">
        <v>0</v>
      </c>
      <c r="M626">
        <v>-11074.37</v>
      </c>
      <c r="N626">
        <v>-11074.37</v>
      </c>
      <c r="O626">
        <v>19984.28</v>
      </c>
      <c r="P626">
        <v>19984.28</v>
      </c>
      <c r="Q626" t="s">
        <v>497</v>
      </c>
      <c r="R626"/>
      <c r="S626"/>
      <c r="T626"/>
    </row>
    <row r="627" spans="1:20" customHeight="1" ht="14.5">
      <c r="A627" s="178">
        <v>80</v>
      </c>
      <c r="B627" s="178" t="s">
        <v>462</v>
      </c>
      <c r="C627" s="178">
        <v>1526.42</v>
      </c>
      <c r="D627">
        <v>1526.42</v>
      </c>
      <c r="E627">
        <v>20716.66</v>
      </c>
      <c r="F627">
        <v>1</v>
      </c>
      <c r="G627">
        <v>20716.66</v>
      </c>
      <c r="H627">
        <v>20716.66</v>
      </c>
      <c r="I627">
        <v>1</v>
      </c>
      <c r="J627">
        <v>20716.66</v>
      </c>
      <c r="K627">
        <v>0</v>
      </c>
      <c r="L627">
        <v>0</v>
      </c>
      <c r="M627">
        <v>-19190.24</v>
      </c>
      <c r="N627">
        <v>-19190.24</v>
      </c>
      <c r="O627">
        <v>1526.42</v>
      </c>
      <c r="P627">
        <v>1526.42</v>
      </c>
      <c r="Q627" t="s">
        <v>497</v>
      </c>
      <c r="R627"/>
      <c r="S627"/>
      <c r="T627"/>
    </row>
    <row r="628" spans="1:20" customHeight="1" ht="14.5">
      <c r="A628" s="178">
        <v>90</v>
      </c>
      <c r="B628" s="178" t="s">
        <v>463</v>
      </c>
      <c r="C628" s="17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497</v>
      </c>
      <c r="R628"/>
      <c r="S628"/>
      <c r="T628"/>
    </row>
    <row r="629" spans="1:20" customHeight="1" ht="14.5">
      <c r="A629" s="178">
        <v>100</v>
      </c>
      <c r="B629" s="178" t="s">
        <v>464</v>
      </c>
      <c r="C629" s="178">
        <v>2809.12</v>
      </c>
      <c r="D629">
        <v>2809.12</v>
      </c>
      <c r="E629">
        <v>2809.12</v>
      </c>
      <c r="F629">
        <v>1</v>
      </c>
      <c r="G629">
        <v>2809.12</v>
      </c>
      <c r="H629">
        <v>2809.12</v>
      </c>
      <c r="I629">
        <v>1</v>
      </c>
      <c r="J629">
        <v>2809.12</v>
      </c>
      <c r="K629">
        <v>0</v>
      </c>
      <c r="L629">
        <v>0</v>
      </c>
      <c r="M629">
        <v>0</v>
      </c>
      <c r="N629">
        <v>0</v>
      </c>
      <c r="O629">
        <v>2809.12</v>
      </c>
      <c r="P629">
        <v>2809.12</v>
      </c>
      <c r="Q629" t="s">
        <v>497</v>
      </c>
      <c r="R629"/>
      <c r="S629"/>
      <c r="T629"/>
    </row>
    <row r="630" spans="1:20" customHeight="1" ht="14.5">
      <c r="A630" s="178">
        <v>110</v>
      </c>
      <c r="B630" s="178" t="s">
        <v>465</v>
      </c>
      <c r="C630" s="178">
        <v>4335.54</v>
      </c>
      <c r="D630">
        <v>4335.54</v>
      </c>
      <c r="E630">
        <v>23525.78</v>
      </c>
      <c r="F630">
        <v>1</v>
      </c>
      <c r="G630">
        <v>23525.78</v>
      </c>
      <c r="H630">
        <v>23525.78</v>
      </c>
      <c r="I630">
        <v>1</v>
      </c>
      <c r="J630">
        <v>23525.78</v>
      </c>
      <c r="K630">
        <v>0</v>
      </c>
      <c r="L630">
        <v>0</v>
      </c>
      <c r="M630">
        <v>-19190.24</v>
      </c>
      <c r="N630">
        <v>-19190.24</v>
      </c>
      <c r="O630">
        <v>4335.54</v>
      </c>
      <c r="P630">
        <v>4335.54</v>
      </c>
      <c r="Q630" t="s">
        <v>497</v>
      </c>
      <c r="R630"/>
      <c r="S630"/>
      <c r="T630"/>
    </row>
    <row r="631" spans="1:20" customHeight="1" ht="14.5">
      <c r="A631" s="178">
        <v>120</v>
      </c>
      <c r="B631" s="178" t="s">
        <v>466</v>
      </c>
      <c r="C631" s="178">
        <v>15648.74</v>
      </c>
      <c r="D631">
        <v>15648.74</v>
      </c>
      <c r="E631">
        <v>7532.87</v>
      </c>
      <c r="F631">
        <v>1</v>
      </c>
      <c r="G631">
        <v>7532.87</v>
      </c>
      <c r="H631">
        <v>7532.87</v>
      </c>
      <c r="I631">
        <v>1</v>
      </c>
      <c r="J631">
        <v>7532.87</v>
      </c>
      <c r="K631">
        <v>0</v>
      </c>
      <c r="L631">
        <v>0</v>
      </c>
      <c r="M631">
        <v>8115.87</v>
      </c>
      <c r="N631">
        <v>8115.87</v>
      </c>
      <c r="O631">
        <v>15648.74</v>
      </c>
      <c r="P631">
        <v>15648.74</v>
      </c>
      <c r="Q631" t="s">
        <v>497</v>
      </c>
      <c r="R631"/>
      <c r="S631"/>
      <c r="T631"/>
    </row>
    <row r="632" spans="1:20" customHeight="1" ht="14.5">
      <c r="A632" s="178">
        <v>130</v>
      </c>
      <c r="B632" s="178" t="s">
        <v>417</v>
      </c>
      <c r="C632" s="178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497</v>
      </c>
      <c r="R632"/>
      <c r="S632"/>
      <c r="T632"/>
    </row>
    <row r="633" spans="1:20" customHeight="1" ht="14.5">
      <c r="A633" s="178">
        <v>135</v>
      </c>
      <c r="B633" s="178" t="s">
        <v>467</v>
      </c>
      <c r="C633" s="178">
        <v>0</v>
      </c>
      <c r="D633">
        <v>0</v>
      </c>
      <c r="E633">
        <v>3141.61</v>
      </c>
      <c r="F633">
        <v>1</v>
      </c>
      <c r="G633">
        <v>3141.61</v>
      </c>
      <c r="H633">
        <v>3141.61</v>
      </c>
      <c r="I633">
        <v>1</v>
      </c>
      <c r="J633">
        <v>3141.61</v>
      </c>
      <c r="K633">
        <v>0</v>
      </c>
      <c r="L633">
        <v>0</v>
      </c>
      <c r="M633">
        <v>-3141.61</v>
      </c>
      <c r="N633">
        <v>-3141.61</v>
      </c>
      <c r="O633">
        <v>0</v>
      </c>
      <c r="P633">
        <v>0</v>
      </c>
      <c r="Q633" t="s">
        <v>497</v>
      </c>
      <c r="R633"/>
      <c r="S633"/>
      <c r="T633"/>
    </row>
    <row r="634" spans="1:20" customHeight="1" ht="14.5">
      <c r="A634" s="178">
        <v>140</v>
      </c>
      <c r="B634" s="178" t="s">
        <v>468</v>
      </c>
      <c r="C634" s="178">
        <v>1347.9</v>
      </c>
      <c r="D634">
        <v>1347.9</v>
      </c>
      <c r="E634">
        <v>8922.58</v>
      </c>
      <c r="F634">
        <v>1</v>
      </c>
      <c r="G634">
        <v>8922.58</v>
      </c>
      <c r="H634">
        <v>8922.58</v>
      </c>
      <c r="I634">
        <v>1</v>
      </c>
      <c r="J634">
        <v>8922.58</v>
      </c>
      <c r="K634">
        <v>0</v>
      </c>
      <c r="L634">
        <v>0</v>
      </c>
      <c r="M634">
        <v>-7574.68</v>
      </c>
      <c r="N634">
        <v>-7574.68</v>
      </c>
      <c r="O634">
        <v>1347.9</v>
      </c>
      <c r="P634">
        <v>1347.9</v>
      </c>
      <c r="Q634" t="s">
        <v>497</v>
      </c>
      <c r="R634"/>
      <c r="S634"/>
      <c r="T634"/>
    </row>
    <row r="635" spans="1:20" customHeight="1" ht="14.5">
      <c r="A635" s="178">
        <v>150</v>
      </c>
      <c r="B635" s="178" t="s">
        <v>469</v>
      </c>
      <c r="C635" s="178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497</v>
      </c>
      <c r="R635"/>
      <c r="S635"/>
      <c r="T635"/>
    </row>
    <row r="636" spans="1:20" customHeight="1" ht="14.5">
      <c r="A636" s="178">
        <v>155</v>
      </c>
      <c r="B636" s="178" t="s">
        <v>421</v>
      </c>
      <c r="C636" s="178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497</v>
      </c>
      <c r="R636"/>
      <c r="S636"/>
      <c r="T636"/>
    </row>
    <row r="637" spans="1:20" customHeight="1" ht="14.5">
      <c r="A637" s="178">
        <v>160</v>
      </c>
      <c r="B637" s="178" t="s">
        <v>470</v>
      </c>
      <c r="C637" s="178">
        <v>1347.9</v>
      </c>
      <c r="D637">
        <v>1347.9</v>
      </c>
      <c r="E637">
        <v>12064.19</v>
      </c>
      <c r="F637">
        <v>1</v>
      </c>
      <c r="G637">
        <v>12064.19</v>
      </c>
      <c r="H637">
        <v>12064.19</v>
      </c>
      <c r="I637">
        <v>1</v>
      </c>
      <c r="J637">
        <v>12064.19</v>
      </c>
      <c r="K637">
        <v>0</v>
      </c>
      <c r="L637">
        <v>0</v>
      </c>
      <c r="M637">
        <v>-10716.29</v>
      </c>
      <c r="N637">
        <v>-10716.29</v>
      </c>
      <c r="O637">
        <v>1347.9</v>
      </c>
      <c r="P637">
        <v>1347.9</v>
      </c>
      <c r="Q637" t="s">
        <v>497</v>
      </c>
      <c r="R637"/>
      <c r="S637"/>
      <c r="T637"/>
    </row>
    <row r="638" spans="1:20" customHeight="1" ht="14.5">
      <c r="A638" s="178">
        <v>170</v>
      </c>
      <c r="B638" s="178" t="s">
        <v>481</v>
      </c>
      <c r="C638" s="178">
        <v>14300.84</v>
      </c>
      <c r="D638">
        <v>14300.84</v>
      </c>
      <c r="E638">
        <v>-4531.32</v>
      </c>
      <c r="F638">
        <v>1</v>
      </c>
      <c r="G638">
        <v>-4531.32</v>
      </c>
      <c r="H638">
        <v>-4531.32</v>
      </c>
      <c r="I638">
        <v>1</v>
      </c>
      <c r="J638">
        <v>-4531.32</v>
      </c>
      <c r="K638">
        <v>0</v>
      </c>
      <c r="L638">
        <v>0</v>
      </c>
      <c r="M638">
        <v>18832.16</v>
      </c>
      <c r="N638">
        <v>18832.16</v>
      </c>
      <c r="O638">
        <v>14300.84</v>
      </c>
      <c r="P638">
        <v>14300.84</v>
      </c>
      <c r="Q638" t="s">
        <v>497</v>
      </c>
      <c r="R638"/>
      <c r="S638"/>
      <c r="T638"/>
    </row>
    <row r="639" spans="1:20">
      <c r="A639" s="178">
        <v>180</v>
      </c>
      <c r="B639" s="178" t="s">
        <v>482</v>
      </c>
      <c r="C639" s="178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497</v>
      </c>
      <c r="R639"/>
      <c r="S639"/>
      <c r="T639"/>
    </row>
    <row r="640" spans="1:20">
      <c r="A640" s="178">
        <v>190</v>
      </c>
      <c r="B640" s="178" t="s">
        <v>472</v>
      </c>
      <c r="C640" s="178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497</v>
      </c>
      <c r="R640"/>
      <c r="S640"/>
      <c r="T640"/>
    </row>
    <row r="641" spans="1:20" customHeight="1" ht="14.5">
      <c r="A641" s="178">
        <v>200</v>
      </c>
      <c r="B641" s="178" t="s">
        <v>474</v>
      </c>
      <c r="C641" s="178">
        <v>14300.84</v>
      </c>
      <c r="D641">
        <v>14300.84</v>
      </c>
      <c r="E641">
        <v>-4531.32</v>
      </c>
      <c r="F641">
        <v>1</v>
      </c>
      <c r="G641">
        <v>-4531.32</v>
      </c>
      <c r="H641">
        <v>-4531.32</v>
      </c>
      <c r="I641">
        <v>1</v>
      </c>
      <c r="J641">
        <v>-4531.32</v>
      </c>
      <c r="K641">
        <v>0</v>
      </c>
      <c r="L641">
        <v>0</v>
      </c>
      <c r="M641">
        <v>18832.16</v>
      </c>
      <c r="N641">
        <v>18832.16</v>
      </c>
      <c r="O641">
        <v>14300.84</v>
      </c>
      <c r="P641">
        <v>14300.84</v>
      </c>
      <c r="Q641" t="s">
        <v>497</v>
      </c>
      <c r="R641"/>
      <c r="S641"/>
      <c r="T641"/>
    </row>
    <row r="642" spans="1:20" customHeight="1" ht="14.5">
      <c r="A642" s="178">
        <v>210</v>
      </c>
      <c r="B642" s="178" t="s">
        <v>475</v>
      </c>
      <c r="C642" s="178">
        <v>18457.86</v>
      </c>
      <c r="D642">
        <v>18457.86</v>
      </c>
      <c r="E642">
        <v>10341.99</v>
      </c>
      <c r="F642">
        <v>1</v>
      </c>
      <c r="G642">
        <v>10341.99</v>
      </c>
      <c r="H642">
        <v>10341.99</v>
      </c>
      <c r="I642">
        <v>1</v>
      </c>
      <c r="J642">
        <v>10341.99</v>
      </c>
      <c r="K642">
        <v>0</v>
      </c>
      <c r="L642">
        <v>0</v>
      </c>
      <c r="M642">
        <v>8115.87</v>
      </c>
      <c r="N642">
        <v>8115.87</v>
      </c>
      <c r="O642">
        <v>18457.86</v>
      </c>
      <c r="P642">
        <v>18457.86</v>
      </c>
      <c r="Q642" t="s">
        <v>497</v>
      </c>
      <c r="R642"/>
      <c r="S642"/>
      <c r="T642"/>
    </row>
    <row r="643" spans="1:20" s="218" customFormat="1">
      <c r="A643" s="218" t="s">
        <v>487</v>
      </c>
      <c r="B643" s="218" t="s">
        <v>402</v>
      </c>
      <c r="C643" s="218" t="s">
        <v>509</v>
      </c>
      <c r="D643" s="218" t="s">
        <v>510</v>
      </c>
      <c r="E643" s="218" t="s">
        <v>403</v>
      </c>
      <c r="F643" s="218" t="s">
        <v>511</v>
      </c>
      <c r="G643" s="218" t="s">
        <v>512</v>
      </c>
      <c r="H643" s="218" t="s">
        <v>513</v>
      </c>
      <c r="I643" s="218" t="s">
        <v>514</v>
      </c>
      <c r="J643" s="218" t="s">
        <v>515</v>
      </c>
      <c r="K643" s="218" t="s">
        <v>437</v>
      </c>
      <c r="L643" s="218" t="s">
        <v>516</v>
      </c>
      <c r="M643" s="218" t="s">
        <v>530</v>
      </c>
      <c r="N643" s="218" t="s">
        <v>532</v>
      </c>
      <c r="O643" s="218" t="s">
        <v>533</v>
      </c>
      <c r="P643" s="218" t="s">
        <v>534</v>
      </c>
      <c r="Q643" s="218" t="s">
        <v>405</v>
      </c>
      <c r="R643" s="218"/>
      <c r="S643" s="218"/>
      <c r="T643" s="218"/>
    </row>
    <row r="644" spans="1:20" customHeight="1" ht="14.5">
      <c r="A644" s="178">
        <v>30</v>
      </c>
      <c r="B644" s="178" t="s">
        <v>456</v>
      </c>
      <c r="C644" s="178">
        <v>5183</v>
      </c>
      <c r="D644">
        <v>5183</v>
      </c>
      <c r="E644">
        <v>4324</v>
      </c>
      <c r="F644">
        <v>1</v>
      </c>
      <c r="G644">
        <v>4324</v>
      </c>
      <c r="H644">
        <v>4324</v>
      </c>
      <c r="I644">
        <v>1</v>
      </c>
      <c r="J644">
        <v>4324</v>
      </c>
      <c r="K644">
        <v>0</v>
      </c>
      <c r="L644">
        <v>0</v>
      </c>
      <c r="M644">
        <v>859</v>
      </c>
      <c r="N644">
        <v>859</v>
      </c>
      <c r="O644">
        <v>5183</v>
      </c>
      <c r="P644">
        <v>5183</v>
      </c>
      <c r="Q644" t="s">
        <v>497</v>
      </c>
      <c r="R644"/>
      <c r="S644"/>
      <c r="T644"/>
    </row>
    <row r="645" spans="1:20" customHeight="1" ht="14.5">
      <c r="A645" s="178">
        <v>40</v>
      </c>
      <c r="B645" s="178" t="s">
        <v>457</v>
      </c>
      <c r="C645" s="178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497</v>
      </c>
      <c r="R645"/>
      <c r="S645"/>
      <c r="T645"/>
    </row>
    <row r="646" spans="1:20">
      <c r="A646" s="178">
        <v>50</v>
      </c>
      <c r="B646" s="178" t="s">
        <v>458</v>
      </c>
      <c r="C646" s="178">
        <v>5183</v>
      </c>
      <c r="D646">
        <v>5183</v>
      </c>
      <c r="E646">
        <v>4324</v>
      </c>
      <c r="F646">
        <v>1</v>
      </c>
      <c r="G646">
        <v>4324</v>
      </c>
      <c r="H646">
        <v>4324</v>
      </c>
      <c r="I646">
        <v>1</v>
      </c>
      <c r="J646">
        <v>4324</v>
      </c>
      <c r="K646">
        <v>0</v>
      </c>
      <c r="L646">
        <v>0</v>
      </c>
      <c r="M646">
        <v>859</v>
      </c>
      <c r="N646">
        <v>859</v>
      </c>
      <c r="O646">
        <v>5183</v>
      </c>
      <c r="P646">
        <v>5183</v>
      </c>
      <c r="Q646" t="s">
        <v>497</v>
      </c>
      <c r="R646"/>
      <c r="S646"/>
      <c r="T646"/>
    </row>
    <row r="647" spans="1:20">
      <c r="A647" s="178">
        <v>60</v>
      </c>
      <c r="B647" s="178" t="s">
        <v>459</v>
      </c>
      <c r="C647" s="178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497</v>
      </c>
      <c r="R647"/>
      <c r="S647"/>
      <c r="T647"/>
    </row>
    <row r="648" spans="1:20">
      <c r="A648" s="178">
        <v>70</v>
      </c>
      <c r="B648" s="178" t="s">
        <v>461</v>
      </c>
      <c r="C648" s="178">
        <v>5183</v>
      </c>
      <c r="D648">
        <v>5183</v>
      </c>
      <c r="E648">
        <v>4324</v>
      </c>
      <c r="F648">
        <v>1</v>
      </c>
      <c r="G648">
        <v>4324</v>
      </c>
      <c r="H648">
        <v>4324</v>
      </c>
      <c r="I648">
        <v>1</v>
      </c>
      <c r="J648">
        <v>4324</v>
      </c>
      <c r="K648">
        <v>0</v>
      </c>
      <c r="L648">
        <v>0</v>
      </c>
      <c r="M648">
        <v>859</v>
      </c>
      <c r="N648">
        <v>859</v>
      </c>
      <c r="O648">
        <v>5183</v>
      </c>
      <c r="P648">
        <v>5183</v>
      </c>
      <c r="Q648" t="s">
        <v>497</v>
      </c>
      <c r="R648"/>
      <c r="S648"/>
      <c r="T648"/>
    </row>
    <row r="649" spans="1:20" customHeight="1" ht="14.5">
      <c r="A649" s="178">
        <v>80</v>
      </c>
      <c r="B649" s="178" t="s">
        <v>462</v>
      </c>
      <c r="C649" s="178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497</v>
      </c>
      <c r="R649"/>
      <c r="S649"/>
      <c r="T649"/>
    </row>
    <row r="650" spans="1:20" customHeight="1" ht="14.5">
      <c r="A650" s="178">
        <v>90</v>
      </c>
      <c r="B650" s="178" t="s">
        <v>463</v>
      </c>
      <c r="C650" s="178">
        <v>23.39</v>
      </c>
      <c r="D650">
        <v>23.39</v>
      </c>
      <c r="E650">
        <v>59.59</v>
      </c>
      <c r="F650">
        <v>1</v>
      </c>
      <c r="G650">
        <v>59.59</v>
      </c>
      <c r="H650">
        <v>59.59</v>
      </c>
      <c r="I650">
        <v>1</v>
      </c>
      <c r="J650">
        <v>59.59</v>
      </c>
      <c r="K650">
        <v>0</v>
      </c>
      <c r="L650">
        <v>0</v>
      </c>
      <c r="M650">
        <v>-36.2</v>
      </c>
      <c r="N650">
        <v>-36.2</v>
      </c>
      <c r="O650">
        <v>23.39</v>
      </c>
      <c r="P650">
        <v>23.39</v>
      </c>
      <c r="Q650" t="s">
        <v>497</v>
      </c>
      <c r="R650"/>
      <c r="S650"/>
      <c r="T650"/>
    </row>
    <row r="651" spans="1:20" customHeight="1" ht="14.5">
      <c r="A651" s="178">
        <v>100</v>
      </c>
      <c r="B651" s="178" t="s">
        <v>464</v>
      </c>
      <c r="C651" s="178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497</v>
      </c>
      <c r="R651"/>
      <c r="S651"/>
      <c r="T651"/>
    </row>
    <row r="652" spans="1:20" customHeight="1" ht="14.5">
      <c r="A652" s="178">
        <v>110</v>
      </c>
      <c r="B652" s="178" t="s">
        <v>465</v>
      </c>
      <c r="C652" s="178">
        <v>23.39</v>
      </c>
      <c r="D652">
        <v>23.39</v>
      </c>
      <c r="E652">
        <v>59.59</v>
      </c>
      <c r="F652">
        <v>1</v>
      </c>
      <c r="G652">
        <v>59.59</v>
      </c>
      <c r="H652">
        <v>59.59</v>
      </c>
      <c r="I652">
        <v>1</v>
      </c>
      <c r="J652">
        <v>59.59</v>
      </c>
      <c r="K652">
        <v>0</v>
      </c>
      <c r="L652">
        <v>0</v>
      </c>
      <c r="M652">
        <v>-36.2</v>
      </c>
      <c r="N652">
        <v>-36.2</v>
      </c>
      <c r="O652">
        <v>23.39</v>
      </c>
      <c r="P652">
        <v>23.39</v>
      </c>
      <c r="Q652" t="s">
        <v>497</v>
      </c>
      <c r="R652"/>
      <c r="S652"/>
      <c r="T652"/>
    </row>
    <row r="653" spans="1:20" customHeight="1" ht="14.5">
      <c r="A653" s="178">
        <v>120</v>
      </c>
      <c r="B653" s="178" t="s">
        <v>466</v>
      </c>
      <c r="C653" s="178">
        <v>5159.61</v>
      </c>
      <c r="D653">
        <v>5159.61</v>
      </c>
      <c r="E653">
        <v>4264.41</v>
      </c>
      <c r="F653">
        <v>1</v>
      </c>
      <c r="G653">
        <v>4264.41</v>
      </c>
      <c r="H653">
        <v>4264.41</v>
      </c>
      <c r="I653">
        <v>1</v>
      </c>
      <c r="J653">
        <v>4264.41</v>
      </c>
      <c r="K653">
        <v>0</v>
      </c>
      <c r="L653">
        <v>0</v>
      </c>
      <c r="M653">
        <v>895.2</v>
      </c>
      <c r="N653">
        <v>895.2</v>
      </c>
      <c r="O653">
        <v>5159.61</v>
      </c>
      <c r="P653">
        <v>5159.61</v>
      </c>
      <c r="Q653" t="s">
        <v>497</v>
      </c>
      <c r="R653"/>
      <c r="S653"/>
      <c r="T653"/>
    </row>
    <row r="654" spans="1:20" customHeight="1" ht="14.5">
      <c r="A654" s="178">
        <v>130</v>
      </c>
      <c r="B654" s="178" t="s">
        <v>417</v>
      </c>
      <c r="C654" s="178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497</v>
      </c>
      <c r="R654"/>
      <c r="S654"/>
      <c r="T654"/>
    </row>
    <row r="655" spans="1:20" customHeight="1" ht="14.5">
      <c r="A655" s="178">
        <v>135</v>
      </c>
      <c r="B655" s="178" t="s">
        <v>467</v>
      </c>
      <c r="C655" s="178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497</v>
      </c>
      <c r="R655"/>
      <c r="S655"/>
      <c r="T655"/>
    </row>
    <row r="656" spans="1:20" customHeight="1" ht="14.5">
      <c r="A656" s="178">
        <v>140</v>
      </c>
      <c r="B656" s="178" t="s">
        <v>468</v>
      </c>
      <c r="C656" s="178">
        <v>2915.21</v>
      </c>
      <c r="D656">
        <v>2915.21</v>
      </c>
      <c r="E656">
        <v>4023.97</v>
      </c>
      <c r="F656">
        <v>1</v>
      </c>
      <c r="G656">
        <v>4023.97</v>
      </c>
      <c r="H656">
        <v>4023.97</v>
      </c>
      <c r="I656">
        <v>1</v>
      </c>
      <c r="J656">
        <v>4023.97</v>
      </c>
      <c r="K656">
        <v>0</v>
      </c>
      <c r="L656">
        <v>0</v>
      </c>
      <c r="M656">
        <v>-1108.76</v>
      </c>
      <c r="N656">
        <v>-1108.76</v>
      </c>
      <c r="O656">
        <v>2915.21</v>
      </c>
      <c r="P656">
        <v>2915.21</v>
      </c>
      <c r="Q656" t="s">
        <v>497</v>
      </c>
      <c r="R656"/>
      <c r="S656"/>
      <c r="T656"/>
    </row>
    <row r="657" spans="1:20" customHeight="1" ht="14.5">
      <c r="A657" s="178">
        <v>150</v>
      </c>
      <c r="B657" s="178" t="s">
        <v>469</v>
      </c>
      <c r="C657" s="178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497</v>
      </c>
      <c r="R657"/>
      <c r="S657"/>
      <c r="T657"/>
    </row>
    <row r="658" spans="1:20" customHeight="1" ht="14.5">
      <c r="A658" s="178">
        <v>155</v>
      </c>
      <c r="B658" s="178" t="s">
        <v>421</v>
      </c>
      <c r="C658" s="17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497</v>
      </c>
      <c r="R658"/>
      <c r="S658"/>
      <c r="T658"/>
    </row>
    <row r="659" spans="1:20" customHeight="1" ht="14.5">
      <c r="A659" s="178">
        <v>160</v>
      </c>
      <c r="B659" s="178" t="s">
        <v>470</v>
      </c>
      <c r="C659" s="178">
        <v>2915.21</v>
      </c>
      <c r="D659">
        <v>2915.21</v>
      </c>
      <c r="E659">
        <v>4023.97</v>
      </c>
      <c r="F659">
        <v>1</v>
      </c>
      <c r="G659">
        <v>4023.97</v>
      </c>
      <c r="H659">
        <v>4023.97</v>
      </c>
      <c r="I659">
        <v>1</v>
      </c>
      <c r="J659">
        <v>4023.97</v>
      </c>
      <c r="K659">
        <v>0</v>
      </c>
      <c r="L659">
        <v>0</v>
      </c>
      <c r="M659">
        <v>-1108.76</v>
      </c>
      <c r="N659">
        <v>-1108.76</v>
      </c>
      <c r="O659">
        <v>2915.21</v>
      </c>
      <c r="P659">
        <v>2915.21</v>
      </c>
      <c r="Q659" t="s">
        <v>497</v>
      </c>
      <c r="R659"/>
      <c r="S659"/>
      <c r="T659"/>
    </row>
    <row r="660" spans="1:20" customHeight="1" ht="14.5">
      <c r="A660" s="178">
        <v>170</v>
      </c>
      <c r="B660" s="178" t="s">
        <v>481</v>
      </c>
      <c r="C660" s="178">
        <v>2244.4</v>
      </c>
      <c r="D660">
        <v>2244.4</v>
      </c>
      <c r="E660">
        <v>240.44</v>
      </c>
      <c r="F660">
        <v>1</v>
      </c>
      <c r="G660">
        <v>240.44</v>
      </c>
      <c r="H660">
        <v>240.44</v>
      </c>
      <c r="I660">
        <v>1</v>
      </c>
      <c r="J660">
        <v>240.44</v>
      </c>
      <c r="K660">
        <v>0</v>
      </c>
      <c r="L660">
        <v>0</v>
      </c>
      <c r="M660">
        <v>2003.96</v>
      </c>
      <c r="N660">
        <v>2003.96</v>
      </c>
      <c r="O660">
        <v>2244.4</v>
      </c>
      <c r="P660">
        <v>2244.4</v>
      </c>
      <c r="Q660" t="s">
        <v>497</v>
      </c>
      <c r="R660"/>
      <c r="S660"/>
      <c r="T660"/>
    </row>
    <row r="661" spans="1:20">
      <c r="A661" s="178">
        <v>180</v>
      </c>
      <c r="B661" s="178" t="s">
        <v>482</v>
      </c>
      <c r="C661" s="178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497</v>
      </c>
      <c r="R661"/>
      <c r="S661"/>
      <c r="T661"/>
    </row>
    <row r="662" spans="1:20">
      <c r="A662" s="178">
        <v>190</v>
      </c>
      <c r="B662" s="178" t="s">
        <v>472</v>
      </c>
      <c r="C662" s="178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497</v>
      </c>
      <c r="R662"/>
      <c r="S662"/>
      <c r="T662"/>
    </row>
    <row r="663" spans="1:20" customHeight="1" ht="14.5">
      <c r="A663" s="178">
        <v>200</v>
      </c>
      <c r="B663" s="178" t="s">
        <v>474</v>
      </c>
      <c r="C663" s="178">
        <v>2244.4</v>
      </c>
      <c r="D663">
        <v>2244.4</v>
      </c>
      <c r="E663">
        <v>240.44</v>
      </c>
      <c r="F663">
        <v>1</v>
      </c>
      <c r="G663">
        <v>240.44</v>
      </c>
      <c r="H663">
        <v>240.44</v>
      </c>
      <c r="I663">
        <v>1</v>
      </c>
      <c r="J663">
        <v>240.44</v>
      </c>
      <c r="K663">
        <v>0</v>
      </c>
      <c r="L663">
        <v>0</v>
      </c>
      <c r="M663">
        <v>2003.96</v>
      </c>
      <c r="N663">
        <v>2003.96</v>
      </c>
      <c r="O663">
        <v>2244.4</v>
      </c>
      <c r="P663">
        <v>2244.4</v>
      </c>
      <c r="Q663" t="s">
        <v>497</v>
      </c>
      <c r="R663"/>
      <c r="S663"/>
      <c r="T663"/>
    </row>
    <row r="664" spans="1:20" customHeight="1" ht="14.5">
      <c r="A664" s="178">
        <v>210</v>
      </c>
      <c r="B664" s="178" t="s">
        <v>475</v>
      </c>
      <c r="C664" s="178">
        <v>5159.61</v>
      </c>
      <c r="D664">
        <v>5159.61</v>
      </c>
      <c r="E664">
        <v>4264.41</v>
      </c>
      <c r="F664">
        <v>1</v>
      </c>
      <c r="G664">
        <v>4264.41</v>
      </c>
      <c r="H664">
        <v>4264.41</v>
      </c>
      <c r="I664">
        <v>1</v>
      </c>
      <c r="J664">
        <v>4264.41</v>
      </c>
      <c r="K664">
        <v>0</v>
      </c>
      <c r="L664">
        <v>0</v>
      </c>
      <c r="M664">
        <v>895.2</v>
      </c>
      <c r="N664">
        <v>895.2</v>
      </c>
      <c r="O664">
        <v>5159.61</v>
      </c>
      <c r="P664">
        <v>5159.61</v>
      </c>
      <c r="Q664" t="s">
        <v>497</v>
      </c>
      <c r="R664"/>
      <c r="S664"/>
      <c r="T664"/>
    </row>
    <row r="665" spans="1:20">
      <c r="A665" s="178" t="s">
        <v>488</v>
      </c>
      <c r="B665" s="178" t="s">
        <v>402</v>
      </c>
      <c r="C665" s="178" t="s">
        <v>509</v>
      </c>
      <c r="D665" t="s">
        <v>510</v>
      </c>
      <c r="E665" t="s">
        <v>403</v>
      </c>
      <c r="F665" t="s">
        <v>511</v>
      </c>
      <c r="G665" t="s">
        <v>512</v>
      </c>
      <c r="H665" t="s">
        <v>513</v>
      </c>
      <c r="I665" t="s">
        <v>514</v>
      </c>
      <c r="J665" t="s">
        <v>515</v>
      </c>
      <c r="K665" t="s">
        <v>437</v>
      </c>
      <c r="L665" t="s">
        <v>516</v>
      </c>
      <c r="M665" t="s">
        <v>530</v>
      </c>
      <c r="N665" t="s">
        <v>532</v>
      </c>
      <c r="O665" t="s">
        <v>533</v>
      </c>
      <c r="P665" t="s">
        <v>534</v>
      </c>
      <c r="Q665" t="s">
        <v>405</v>
      </c>
      <c r="R665"/>
      <c r="S665"/>
      <c r="T665"/>
    </row>
    <row r="666" spans="1:20">
      <c r="A666" s="178">
        <v>30</v>
      </c>
      <c r="B666" s="178" t="s">
        <v>456</v>
      </c>
      <c r="C666" s="178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21898545</v>
      </c>
      <c r="M666">
        <v>0</v>
      </c>
      <c r="N666">
        <v>0</v>
      </c>
      <c r="O666">
        <v>0</v>
      </c>
      <c r="P666">
        <v>-21898545</v>
      </c>
      <c r="Q666" t="s">
        <v>497</v>
      </c>
      <c r="R666"/>
      <c r="S666"/>
      <c r="T666"/>
    </row>
    <row r="667" spans="1:20">
      <c r="A667" s="178">
        <v>40</v>
      </c>
      <c r="B667" s="178" t="s">
        <v>457</v>
      </c>
      <c r="C667" s="178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497</v>
      </c>
      <c r="R667"/>
      <c r="S667"/>
      <c r="T667"/>
    </row>
    <row r="668" spans="1:20">
      <c r="A668" s="178">
        <v>50</v>
      </c>
      <c r="B668" s="178" t="s">
        <v>458</v>
      </c>
      <c r="C668" s="17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21898545</v>
      </c>
      <c r="M668">
        <v>0</v>
      </c>
      <c r="N668">
        <v>0</v>
      </c>
      <c r="O668">
        <v>0</v>
      </c>
      <c r="P668">
        <v>-21898545</v>
      </c>
      <c r="Q668" t="s">
        <v>497</v>
      </c>
      <c r="R668"/>
      <c r="S668"/>
      <c r="T668"/>
    </row>
    <row r="669" spans="1:20">
      <c r="A669" s="178">
        <v>60</v>
      </c>
      <c r="B669" s="178" t="s">
        <v>459</v>
      </c>
      <c r="C669" s="178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8277651</v>
      </c>
      <c r="M669">
        <v>0</v>
      </c>
      <c r="N669">
        <v>0</v>
      </c>
      <c r="O669">
        <v>0</v>
      </c>
      <c r="P669">
        <v>-8277651</v>
      </c>
      <c r="Q669" t="s">
        <v>497</v>
      </c>
      <c r="R669"/>
      <c r="S669"/>
      <c r="T669"/>
    </row>
    <row r="670" spans="1:20">
      <c r="A670" s="178">
        <v>65</v>
      </c>
      <c r="B670" s="178" t="s">
        <v>460</v>
      </c>
      <c r="C670" s="178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497</v>
      </c>
      <c r="R670"/>
      <c r="S670"/>
      <c r="T670"/>
    </row>
    <row r="671" spans="1:20">
      <c r="A671" s="178">
        <v>70</v>
      </c>
      <c r="B671" s="178" t="s">
        <v>461</v>
      </c>
      <c r="C671" s="178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13620894</v>
      </c>
      <c r="M671">
        <v>0</v>
      </c>
      <c r="N671">
        <v>0</v>
      </c>
      <c r="O671">
        <v>0</v>
      </c>
      <c r="P671">
        <v>-13620894</v>
      </c>
      <c r="Q671" t="s">
        <v>497</v>
      </c>
      <c r="R671"/>
      <c r="S671"/>
      <c r="T671"/>
    </row>
    <row r="672" spans="1:20">
      <c r="A672" s="178">
        <v>80</v>
      </c>
      <c r="B672" s="178" t="s">
        <v>462</v>
      </c>
      <c r="C672" s="178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11974629</v>
      </c>
      <c r="M672">
        <v>0</v>
      </c>
      <c r="N672">
        <v>0</v>
      </c>
      <c r="O672">
        <v>0</v>
      </c>
      <c r="P672">
        <v>-11974629</v>
      </c>
      <c r="Q672" t="s">
        <v>497</v>
      </c>
      <c r="R672"/>
      <c r="S672"/>
      <c r="T672"/>
    </row>
    <row r="673" spans="1:20">
      <c r="A673" s="178">
        <v>90</v>
      </c>
      <c r="B673" s="178" t="s">
        <v>463</v>
      </c>
      <c r="C673" s="178">
        <v>10</v>
      </c>
      <c r="D673">
        <v>10</v>
      </c>
      <c r="E673">
        <v>2905.92</v>
      </c>
      <c r="F673">
        <v>1</v>
      </c>
      <c r="G673">
        <v>2905.92</v>
      </c>
      <c r="H673">
        <v>2905.92</v>
      </c>
      <c r="I673">
        <v>1</v>
      </c>
      <c r="J673">
        <v>2905.92</v>
      </c>
      <c r="K673">
        <v>0</v>
      </c>
      <c r="L673">
        <v>1279857</v>
      </c>
      <c r="M673">
        <v>-2895.92</v>
      </c>
      <c r="N673">
        <v>-2895.92</v>
      </c>
      <c r="O673">
        <v>10</v>
      </c>
      <c r="P673">
        <v>-1279847</v>
      </c>
      <c r="Q673" t="s">
        <v>497</v>
      </c>
      <c r="R673"/>
      <c r="S673"/>
      <c r="T673"/>
    </row>
    <row r="674" spans="1:20">
      <c r="A674" s="178">
        <v>100</v>
      </c>
      <c r="B674" s="178" t="s">
        <v>464</v>
      </c>
      <c r="C674" s="178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171684</v>
      </c>
      <c r="M674">
        <v>0</v>
      </c>
      <c r="N674">
        <v>0</v>
      </c>
      <c r="O674">
        <v>0</v>
      </c>
      <c r="P674">
        <v>-171684</v>
      </c>
      <c r="Q674" t="s">
        <v>497</v>
      </c>
      <c r="R674"/>
      <c r="S674"/>
      <c r="T674"/>
    </row>
    <row r="675" spans="1:20">
      <c r="A675" s="178">
        <v>110</v>
      </c>
      <c r="B675" s="178" t="s">
        <v>465</v>
      </c>
      <c r="C675" s="178">
        <v>10</v>
      </c>
      <c r="D675">
        <v>10</v>
      </c>
      <c r="E675">
        <v>2905.92</v>
      </c>
      <c r="F675">
        <v>1</v>
      </c>
      <c r="G675">
        <v>2905.92</v>
      </c>
      <c r="H675">
        <v>2905.92</v>
      </c>
      <c r="I675">
        <v>1</v>
      </c>
      <c r="J675">
        <v>2905.92</v>
      </c>
      <c r="K675">
        <v>0</v>
      </c>
      <c r="L675">
        <v>13426170</v>
      </c>
      <c r="M675">
        <v>-2895.92</v>
      </c>
      <c r="N675">
        <v>-2895.92</v>
      </c>
      <c r="O675">
        <v>10</v>
      </c>
      <c r="P675">
        <v>-13426160</v>
      </c>
      <c r="Q675" t="s">
        <v>497</v>
      </c>
      <c r="R675"/>
      <c r="S675"/>
      <c r="T675"/>
    </row>
    <row r="676" spans="1:20">
      <c r="A676" s="178">
        <v>120</v>
      </c>
      <c r="B676" s="178" t="s">
        <v>466</v>
      </c>
      <c r="C676" s="178">
        <v>-10</v>
      </c>
      <c r="D676">
        <v>-10</v>
      </c>
      <c r="E676">
        <v>-2905.92</v>
      </c>
      <c r="F676">
        <v>1</v>
      </c>
      <c r="G676">
        <v>-2905.92</v>
      </c>
      <c r="H676">
        <v>-2905.92</v>
      </c>
      <c r="I676">
        <v>1</v>
      </c>
      <c r="J676">
        <v>-2905.92</v>
      </c>
      <c r="K676">
        <v>0</v>
      </c>
      <c r="L676">
        <v>194724</v>
      </c>
      <c r="M676">
        <v>2895.92</v>
      </c>
      <c r="N676">
        <v>2895.92</v>
      </c>
      <c r="O676">
        <v>-10</v>
      </c>
      <c r="P676">
        <v>-194734</v>
      </c>
      <c r="Q676" t="s">
        <v>497</v>
      </c>
      <c r="R676"/>
      <c r="S676"/>
      <c r="T676"/>
    </row>
    <row r="677" spans="1:20">
      <c r="A677" s="178">
        <v>130</v>
      </c>
      <c r="B677" s="178"/>
      <c r="C677" s="178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497</v>
      </c>
      <c r="R677"/>
      <c r="S677"/>
      <c r="T677"/>
    </row>
    <row r="678" spans="1:20">
      <c r="A678" s="178">
        <v>135</v>
      </c>
      <c r="B678" s="178" t="s">
        <v>467</v>
      </c>
      <c r="C678" s="178">
        <v>0</v>
      </c>
      <c r="D678">
        <v>0</v>
      </c>
      <c r="E678">
        <v>-900</v>
      </c>
      <c r="F678">
        <v>1</v>
      </c>
      <c r="G678">
        <v>-900</v>
      </c>
      <c r="H678">
        <v>-900</v>
      </c>
      <c r="I678">
        <v>1</v>
      </c>
      <c r="J678">
        <v>-900</v>
      </c>
      <c r="K678">
        <v>0</v>
      </c>
      <c r="L678">
        <v>-616560</v>
      </c>
      <c r="M678">
        <v>900</v>
      </c>
      <c r="N678">
        <v>900</v>
      </c>
      <c r="O678">
        <v>0</v>
      </c>
      <c r="P678">
        <v>616560</v>
      </c>
      <c r="Q678" t="s">
        <v>497</v>
      </c>
      <c r="R678"/>
      <c r="S678"/>
      <c r="T678"/>
    </row>
    <row r="679" spans="1:20">
      <c r="A679" s="178">
        <v>140</v>
      </c>
      <c r="B679" s="178" t="s">
        <v>468</v>
      </c>
      <c r="C679" s="178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369382</v>
      </c>
      <c r="M679">
        <v>0</v>
      </c>
      <c r="N679">
        <v>0</v>
      </c>
      <c r="O679">
        <v>0</v>
      </c>
      <c r="P679">
        <v>-369382</v>
      </c>
      <c r="Q679" t="s">
        <v>497</v>
      </c>
      <c r="R679"/>
      <c r="S679"/>
      <c r="T679"/>
    </row>
    <row r="680" spans="1:20">
      <c r="A680" s="178">
        <v>150</v>
      </c>
      <c r="B680" s="178" t="s">
        <v>469</v>
      </c>
      <c r="C680" s="178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497</v>
      </c>
      <c r="R680"/>
      <c r="S680"/>
      <c r="T680"/>
    </row>
    <row r="681" spans="1:20">
      <c r="A681" s="178">
        <v>155</v>
      </c>
      <c r="B681" s="178"/>
      <c r="C681" s="178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497</v>
      </c>
      <c r="R681"/>
      <c r="S681"/>
      <c r="T681"/>
    </row>
    <row r="682" spans="1:20">
      <c r="A682" s="178">
        <v>160</v>
      </c>
      <c r="B682" s="178" t="s">
        <v>470</v>
      </c>
      <c r="C682" s="178">
        <v>0</v>
      </c>
      <c r="D682">
        <v>0</v>
      </c>
      <c r="E682">
        <v>-900</v>
      </c>
      <c r="F682">
        <v>1</v>
      </c>
      <c r="G682">
        <v>-900</v>
      </c>
      <c r="H682">
        <v>-900</v>
      </c>
      <c r="I682">
        <v>1</v>
      </c>
      <c r="J682">
        <v>-900</v>
      </c>
      <c r="K682">
        <v>0</v>
      </c>
      <c r="L682">
        <v>-247178</v>
      </c>
      <c r="M682">
        <v>900</v>
      </c>
      <c r="N682">
        <v>900</v>
      </c>
      <c r="O682">
        <v>0</v>
      </c>
      <c r="P682">
        <v>247178</v>
      </c>
      <c r="Q682" t="s">
        <v>497</v>
      </c>
      <c r="R682"/>
      <c r="S682"/>
      <c r="T682"/>
    </row>
    <row r="683" spans="1:20">
      <c r="A683" s="178">
        <v>170</v>
      </c>
      <c r="B683" s="178" t="s">
        <v>481</v>
      </c>
      <c r="C683" s="178">
        <v>-10</v>
      </c>
      <c r="D683">
        <v>-10</v>
      </c>
      <c r="E683">
        <v>-2005.92</v>
      </c>
      <c r="F683">
        <v>1</v>
      </c>
      <c r="G683">
        <v>-2005.92</v>
      </c>
      <c r="H683">
        <v>-2005.92</v>
      </c>
      <c r="I683">
        <v>1</v>
      </c>
      <c r="J683">
        <v>-2005.92</v>
      </c>
      <c r="K683">
        <v>0</v>
      </c>
      <c r="L683">
        <v>441902</v>
      </c>
      <c r="M683">
        <v>1995.92</v>
      </c>
      <c r="N683">
        <v>1995.92</v>
      </c>
      <c r="O683">
        <v>-10</v>
      </c>
      <c r="P683">
        <v>-441912</v>
      </c>
      <c r="Q683" t="s">
        <v>497</v>
      </c>
      <c r="R683"/>
      <c r="S683"/>
      <c r="T683"/>
    </row>
    <row r="684" spans="1:20">
      <c r="A684" s="178">
        <v>180</v>
      </c>
      <c r="B684" s="178" t="s">
        <v>482</v>
      </c>
      <c r="C684" s="178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497</v>
      </c>
      <c r="R684"/>
      <c r="S684"/>
      <c r="T684"/>
    </row>
    <row r="685" spans="1:20">
      <c r="A685" s="178">
        <v>190</v>
      </c>
      <c r="B685" s="178" t="s">
        <v>472</v>
      </c>
      <c r="C685" s="178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497</v>
      </c>
      <c r="R685"/>
      <c r="S685"/>
      <c r="T685"/>
    </row>
    <row r="686" spans="1:20">
      <c r="A686" s="178">
        <v>200</v>
      </c>
      <c r="B686" s="178" t="s">
        <v>474</v>
      </c>
      <c r="C686" s="178">
        <v>-10</v>
      </c>
      <c r="D686">
        <v>-10</v>
      </c>
      <c r="E686">
        <v>-2005.92</v>
      </c>
      <c r="F686">
        <v>1</v>
      </c>
      <c r="G686">
        <v>-2005.92</v>
      </c>
      <c r="H686">
        <v>-2005.92</v>
      </c>
      <c r="I686">
        <v>1</v>
      </c>
      <c r="J686">
        <v>-2005.92</v>
      </c>
      <c r="K686">
        <v>0</v>
      </c>
      <c r="L686">
        <v>441902</v>
      </c>
      <c r="M686">
        <v>1995.92</v>
      </c>
      <c r="N686">
        <v>1995.92</v>
      </c>
      <c r="O686">
        <v>-10</v>
      </c>
      <c r="P686">
        <v>-441912</v>
      </c>
      <c r="Q686" t="s">
        <v>497</v>
      </c>
      <c r="R686"/>
      <c r="S686"/>
      <c r="T686"/>
    </row>
    <row r="687" spans="1:20">
      <c r="A687" s="178">
        <v>210</v>
      </c>
      <c r="B687" s="178" t="s">
        <v>475</v>
      </c>
      <c r="C687" s="178">
        <v>-10</v>
      </c>
      <c r="D687">
        <v>-10</v>
      </c>
      <c r="E687">
        <v>-2905.92</v>
      </c>
      <c r="F687">
        <v>1</v>
      </c>
      <c r="G687">
        <v>-2905.92</v>
      </c>
      <c r="H687">
        <v>-2905.92</v>
      </c>
      <c r="I687">
        <v>1</v>
      </c>
      <c r="J687">
        <v>-2905.92</v>
      </c>
      <c r="K687">
        <v>0</v>
      </c>
      <c r="L687">
        <v>366408</v>
      </c>
      <c r="M687">
        <v>2895.92</v>
      </c>
      <c r="N687">
        <v>2895.92</v>
      </c>
      <c r="O687">
        <v>-10</v>
      </c>
      <c r="P687">
        <v>-366418</v>
      </c>
      <c r="Q687" t="s">
        <v>497</v>
      </c>
      <c r="R687"/>
      <c r="S687"/>
      <c r="T687"/>
    </row>
    <row r="688" spans="1:20">
      <c r="A688" s="178"/>
      <c r="B688" s="178"/>
      <c r="C688" s="17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BDBG">
    <outlinePr summaryBelow="1" summaryRight="1"/>
  </sheetPr>
  <dimension ref="A1:J1676"/>
  <sheetViews>
    <sheetView tabSelected="0" workbookViewId="0" zoomScale="70" zoomScaleNormal="70" showGridLines="true" showRowColHeaders="1">
      <selection activeCell="A1" sqref="A1:J1676"/>
    </sheetView>
  </sheetViews>
  <sheetFormatPr defaultRowHeight="14.4" defaultColWidth="8.7265625" outlineLevelRow="0" outlineLevelCol="0"/>
  <cols>
    <col min="1" max="1" width="17" customWidth="true" style="178"/>
    <col min="2" max="2" width="33.81640625" customWidth="true" style="178"/>
    <col min="3" max="3" width="10.81640625" customWidth="true" style="178"/>
    <col min="4" max="4" width="8.7265625" style="178"/>
    <col min="5" max="5" width="8.7265625" style="178"/>
    <col min="6" max="6" width="8.7265625" style="178"/>
    <col min="7" max="7" width="8.7265625" style="178"/>
    <col min="8" max="8" width="8.7265625" style="178"/>
    <col min="9" max="9" width="8.7265625" style="178"/>
    <col min="10" max="10" width="8.7265625" style="178"/>
  </cols>
  <sheetData>
    <row r="1" spans="1:10">
      <c r="A1" s="178" t="s">
        <v>401</v>
      </c>
      <c r="B1" s="178" t="s">
        <v>402</v>
      </c>
      <c r="C1" s="178" t="s">
        <v>538</v>
      </c>
      <c r="D1" s="178" t="s">
        <v>539</v>
      </c>
      <c r="E1" s="178" t="s">
        <v>540</v>
      </c>
      <c r="F1" s="178" t="s">
        <v>541</v>
      </c>
      <c r="G1" s="178" t="s">
        <v>542</v>
      </c>
      <c r="H1" s="178" t="s">
        <v>543</v>
      </c>
      <c r="I1" s="178" t="s">
        <v>544</v>
      </c>
      <c r="J1" s="178" t="s">
        <v>405</v>
      </c>
    </row>
    <row r="2" spans="1:10">
      <c r="A2" s="178">
        <v>10</v>
      </c>
      <c r="B2" s="178" t="s">
        <v>545</v>
      </c>
      <c r="C2" s="178">
        <v>0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s">
        <v>497</v>
      </c>
    </row>
    <row r="3" spans="1:10">
      <c r="A3" s="178">
        <v>20</v>
      </c>
      <c r="B3" s="178" t="s">
        <v>359</v>
      </c>
      <c r="C3" s="178">
        <v>6814601.88</v>
      </c>
      <c r="D3" s="178">
        <v>0</v>
      </c>
      <c r="E3" s="178">
        <v>6814601.88</v>
      </c>
      <c r="F3" s="178">
        <v>-2437404.69</v>
      </c>
      <c r="G3" s="178">
        <v>-2437404.69</v>
      </c>
      <c r="H3" s="178">
        <v>9252006.57</v>
      </c>
      <c r="I3" s="178">
        <v>9252006.57</v>
      </c>
      <c r="J3" s="178" t="s">
        <v>497</v>
      </c>
    </row>
    <row r="4" spans="1:10">
      <c r="A4" s="178">
        <v>30</v>
      </c>
      <c r="B4" s="178" t="s">
        <v>360</v>
      </c>
      <c r="C4" s="178">
        <v>4265598.13</v>
      </c>
      <c r="D4" s="178">
        <v>0</v>
      </c>
      <c r="E4" s="178">
        <v>4265598.13</v>
      </c>
      <c r="F4" s="178">
        <v>280961.07</v>
      </c>
      <c r="G4" s="178">
        <v>280961.07</v>
      </c>
      <c r="H4" s="178">
        <v>3984637.06</v>
      </c>
      <c r="I4" s="178">
        <v>3984637.06</v>
      </c>
      <c r="J4" s="178" t="s">
        <v>497</v>
      </c>
    </row>
    <row r="5" spans="1:10">
      <c r="A5" s="178">
        <v>40</v>
      </c>
      <c r="B5" s="178" t="s">
        <v>266</v>
      </c>
      <c r="C5" s="178">
        <v>0</v>
      </c>
      <c r="D5" s="178">
        <v>0</v>
      </c>
      <c r="E5" s="178">
        <v>0</v>
      </c>
      <c r="F5" s="178">
        <v>0</v>
      </c>
      <c r="G5" s="178">
        <v>0</v>
      </c>
      <c r="H5" s="178">
        <v>0</v>
      </c>
      <c r="I5" s="178">
        <v>0</v>
      </c>
      <c r="J5" s="178" t="s">
        <v>497</v>
      </c>
    </row>
    <row r="6" spans="1:10">
      <c r="A6" s="178">
        <v>50</v>
      </c>
      <c r="B6" s="178" t="s">
        <v>267</v>
      </c>
      <c r="C6" s="178">
        <v>68706175.3</v>
      </c>
      <c r="D6" s="178">
        <v>0</v>
      </c>
      <c r="E6" s="178">
        <v>68706175.3</v>
      </c>
      <c r="F6" s="178">
        <v>4849502.43</v>
      </c>
      <c r="G6" s="178">
        <v>4849502.43</v>
      </c>
      <c r="H6" s="178">
        <v>63856672.87</v>
      </c>
      <c r="I6" s="178">
        <v>63856672.87</v>
      </c>
      <c r="J6" s="178" t="s">
        <v>497</v>
      </c>
    </row>
    <row r="7" spans="1:10">
      <c r="A7" s="178">
        <v>60</v>
      </c>
      <c r="B7" s="178" t="s">
        <v>268</v>
      </c>
      <c r="C7" s="178">
        <v>5243621.91</v>
      </c>
      <c r="D7" s="178">
        <v>0</v>
      </c>
      <c r="E7" s="178">
        <v>5243621.91</v>
      </c>
      <c r="F7" s="178">
        <v>-437242.31</v>
      </c>
      <c r="G7" s="178">
        <v>-437242.31</v>
      </c>
      <c r="H7" s="178">
        <v>5680864.22</v>
      </c>
      <c r="I7" s="178">
        <v>5680864.22</v>
      </c>
      <c r="J7" s="178" t="s">
        <v>497</v>
      </c>
    </row>
    <row r="8" spans="1:10">
      <c r="A8" s="178">
        <v>70</v>
      </c>
      <c r="B8" s="178" t="s">
        <v>269</v>
      </c>
      <c r="C8" s="178">
        <v>-205338.13</v>
      </c>
      <c r="D8" s="178">
        <v>0</v>
      </c>
      <c r="E8" s="178">
        <v>-205338.13</v>
      </c>
      <c r="F8" s="178">
        <v>-1563254.88</v>
      </c>
      <c r="G8" s="178">
        <v>-1563254.88</v>
      </c>
      <c r="H8" s="178">
        <v>1357916.75</v>
      </c>
      <c r="I8" s="178">
        <v>1357916.75</v>
      </c>
      <c r="J8" s="178" t="s">
        <v>497</v>
      </c>
    </row>
    <row r="9" spans="1:10">
      <c r="A9" s="178">
        <v>80</v>
      </c>
      <c r="B9" s="178" t="s">
        <v>546</v>
      </c>
      <c r="C9" s="178">
        <v>11726142.02</v>
      </c>
      <c r="D9" s="178">
        <v>0</v>
      </c>
      <c r="E9" s="178">
        <v>11726142.02</v>
      </c>
      <c r="F9" s="178">
        <v>100004.36</v>
      </c>
      <c r="G9" s="178">
        <v>100004.36</v>
      </c>
      <c r="H9" s="178">
        <v>11626137.66</v>
      </c>
      <c r="I9" s="178">
        <v>11626137.66</v>
      </c>
      <c r="J9" s="178" t="s">
        <v>497</v>
      </c>
    </row>
    <row r="10" spans="1:10">
      <c r="A10" s="178">
        <v>100</v>
      </c>
      <c r="B10" s="178" t="s">
        <v>547</v>
      </c>
      <c r="C10" s="178">
        <v>96550801.11</v>
      </c>
      <c r="D10" s="178">
        <v>0</v>
      </c>
      <c r="E10" s="178">
        <v>96550801.11</v>
      </c>
      <c r="F10" s="178">
        <v>792565.98</v>
      </c>
      <c r="G10" s="178">
        <v>792565.98</v>
      </c>
      <c r="H10" s="178">
        <v>95758235.13</v>
      </c>
      <c r="I10" s="178">
        <v>95758235.13</v>
      </c>
      <c r="J10" s="178" t="s">
        <v>497</v>
      </c>
    </row>
    <row r="11" spans="1:10">
      <c r="A11" s="178">
        <v>110</v>
      </c>
      <c r="B11" s="178" t="s">
        <v>548</v>
      </c>
      <c r="C11" s="178">
        <v>0</v>
      </c>
      <c r="D11" s="178">
        <v>0</v>
      </c>
      <c r="E11" s="178">
        <v>0</v>
      </c>
      <c r="F11" s="178">
        <v>0</v>
      </c>
      <c r="G11" s="178">
        <v>0</v>
      </c>
      <c r="H11" s="178">
        <v>0</v>
      </c>
      <c r="I11" s="178">
        <v>0</v>
      </c>
      <c r="J11" s="178" t="s">
        <v>497</v>
      </c>
    </row>
    <row r="12" spans="1:10">
      <c r="A12" s="178">
        <v>120</v>
      </c>
      <c r="B12" s="178" t="s">
        <v>322</v>
      </c>
      <c r="C12" s="178">
        <v>0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s">
        <v>497</v>
      </c>
    </row>
    <row r="13" spans="1:10">
      <c r="A13" s="178">
        <v>130</v>
      </c>
      <c r="B13" s="178" t="s">
        <v>282</v>
      </c>
      <c r="C13" s="178">
        <v>34775380.43</v>
      </c>
      <c r="D13" s="178">
        <v>0</v>
      </c>
      <c r="E13" s="178">
        <v>34775380.43</v>
      </c>
      <c r="F13" s="178">
        <v>0</v>
      </c>
      <c r="G13" s="178">
        <v>0</v>
      </c>
      <c r="H13" s="178">
        <v>34775380.43</v>
      </c>
      <c r="I13" s="178">
        <v>34775380.43</v>
      </c>
      <c r="J13" s="178" t="s">
        <v>497</v>
      </c>
    </row>
    <row r="14" spans="1:10">
      <c r="A14" s="178">
        <v>140</v>
      </c>
      <c r="B14" s="178" t="s">
        <v>364</v>
      </c>
      <c r="C14" s="178">
        <v>5591356.67</v>
      </c>
      <c r="D14" s="178">
        <v>0</v>
      </c>
      <c r="E14" s="178">
        <v>5591356.67</v>
      </c>
      <c r="F14" s="178">
        <v>0</v>
      </c>
      <c r="G14" s="178">
        <v>0</v>
      </c>
      <c r="H14" s="178">
        <v>5591356.67</v>
      </c>
      <c r="I14" s="178">
        <v>5591356.67</v>
      </c>
      <c r="J14" s="178" t="s">
        <v>497</v>
      </c>
    </row>
    <row r="15" spans="1:10">
      <c r="A15" s="178">
        <v>150</v>
      </c>
      <c r="B15" s="178" t="s">
        <v>285</v>
      </c>
      <c r="C15" s="178">
        <v>26678839.15</v>
      </c>
      <c r="D15" s="178">
        <v>0</v>
      </c>
      <c r="E15" s="178">
        <v>26678839.15</v>
      </c>
      <c r="F15" s="178">
        <v>0</v>
      </c>
      <c r="G15" s="178">
        <v>0</v>
      </c>
      <c r="H15" s="178">
        <v>26678839.15</v>
      </c>
      <c r="I15" s="178">
        <v>26678839.15</v>
      </c>
      <c r="J15" s="178" t="s">
        <v>497</v>
      </c>
    </row>
    <row r="16" spans="1:10">
      <c r="A16" s="178">
        <v>160</v>
      </c>
      <c r="B16" s="178" t="s">
        <v>284</v>
      </c>
      <c r="C16" s="178">
        <v>21232614.12</v>
      </c>
      <c r="D16" s="178">
        <v>0</v>
      </c>
      <c r="E16" s="178">
        <v>21232614.12</v>
      </c>
      <c r="F16" s="178">
        <v>85965.51</v>
      </c>
      <c r="G16" s="178">
        <v>85965.51</v>
      </c>
      <c r="H16" s="178">
        <v>21146648.61</v>
      </c>
      <c r="I16" s="178">
        <v>21146648.61</v>
      </c>
      <c r="J16" s="178" t="s">
        <v>497</v>
      </c>
    </row>
    <row r="17" spans="1:10">
      <c r="A17" s="178">
        <v>170</v>
      </c>
      <c r="B17" s="178" t="s">
        <v>283</v>
      </c>
      <c r="C17" s="178">
        <v>134356985.18</v>
      </c>
      <c r="D17" s="178">
        <v>0</v>
      </c>
      <c r="E17" s="178">
        <v>134356985.18</v>
      </c>
      <c r="F17" s="178">
        <v>12680</v>
      </c>
      <c r="G17" s="178">
        <v>12680</v>
      </c>
      <c r="H17" s="178">
        <v>134344305.18</v>
      </c>
      <c r="I17" s="178">
        <v>134344305.18</v>
      </c>
      <c r="J17" s="178" t="s">
        <v>497</v>
      </c>
    </row>
    <row r="18" spans="1:10">
      <c r="A18" s="178">
        <v>180</v>
      </c>
      <c r="B18" s="178" t="s">
        <v>366</v>
      </c>
      <c r="C18" s="178">
        <v>0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s">
        <v>497</v>
      </c>
    </row>
    <row r="19" spans="1:10">
      <c r="A19" s="178">
        <v>190</v>
      </c>
      <c r="B19" s="178" t="s">
        <v>367</v>
      </c>
      <c r="C19" s="178">
        <v>-143296601.25</v>
      </c>
      <c r="D19" s="178">
        <v>0</v>
      </c>
      <c r="E19" s="178">
        <v>-143296601.25</v>
      </c>
      <c r="F19" s="178">
        <v>-708436.15</v>
      </c>
      <c r="G19" s="178">
        <v>-708436.15</v>
      </c>
      <c r="H19" s="178">
        <v>-142588165.1</v>
      </c>
      <c r="I19" s="178">
        <v>-142588165.1</v>
      </c>
      <c r="J19" s="178" t="s">
        <v>497</v>
      </c>
    </row>
    <row r="20" spans="1:10">
      <c r="A20" s="178">
        <v>200</v>
      </c>
      <c r="B20" s="178" t="s">
        <v>368</v>
      </c>
      <c r="C20" s="178">
        <v>79338574.3</v>
      </c>
      <c r="D20" s="178">
        <v>0</v>
      </c>
      <c r="E20" s="178">
        <v>79338574.3</v>
      </c>
      <c r="F20" s="178">
        <v>-609790.64</v>
      </c>
      <c r="G20" s="178">
        <v>-609790.64</v>
      </c>
      <c r="H20" s="178">
        <v>79948364.94</v>
      </c>
      <c r="I20" s="178">
        <v>79948364.94</v>
      </c>
      <c r="J20" s="178" t="s">
        <v>497</v>
      </c>
    </row>
    <row r="21" spans="1:10">
      <c r="A21" s="178">
        <v>210</v>
      </c>
      <c r="B21" s="178" t="s">
        <v>549</v>
      </c>
      <c r="C21" s="178">
        <v>0</v>
      </c>
      <c r="D21" s="178">
        <v>0</v>
      </c>
      <c r="E21" s="178">
        <v>0</v>
      </c>
      <c r="F21" s="178">
        <v>0</v>
      </c>
      <c r="G21" s="178">
        <v>0</v>
      </c>
      <c r="H21" s="178">
        <v>0</v>
      </c>
      <c r="I21" s="178">
        <v>0</v>
      </c>
      <c r="J21" s="178" t="s">
        <v>497</v>
      </c>
    </row>
    <row r="22" spans="1:10">
      <c r="A22" s="178">
        <v>220</v>
      </c>
      <c r="B22" s="178" t="s">
        <v>370</v>
      </c>
      <c r="C22" s="178">
        <v>6305595.47</v>
      </c>
      <c r="D22" s="178">
        <v>0</v>
      </c>
      <c r="E22" s="178">
        <v>6305595.47</v>
      </c>
      <c r="F22" s="178">
        <v>-20957.86</v>
      </c>
      <c r="G22" s="178">
        <v>-20957.86</v>
      </c>
      <c r="H22" s="178">
        <v>6326553.33</v>
      </c>
      <c r="I22" s="178">
        <v>6326553.33</v>
      </c>
      <c r="J22" s="178" t="s">
        <v>497</v>
      </c>
    </row>
    <row r="23" spans="1:10">
      <c r="A23" s="178">
        <v>230</v>
      </c>
      <c r="B23" s="178" t="s">
        <v>371</v>
      </c>
      <c r="C23" s="178">
        <v>60975645.23</v>
      </c>
      <c r="D23" s="178">
        <v>0</v>
      </c>
      <c r="E23" s="178">
        <v>60975645.23</v>
      </c>
      <c r="F23" s="178">
        <v>0</v>
      </c>
      <c r="G23" s="178">
        <v>0</v>
      </c>
      <c r="H23" s="178">
        <v>60975645.23</v>
      </c>
      <c r="I23" s="178">
        <v>60975645.23</v>
      </c>
      <c r="J23" s="178" t="s">
        <v>497</v>
      </c>
    </row>
    <row r="24" spans="1:10">
      <c r="A24" s="178">
        <v>240</v>
      </c>
      <c r="B24" s="178" t="s">
        <v>372</v>
      </c>
      <c r="C24" s="178">
        <v>-18766008.68</v>
      </c>
      <c r="D24" s="178">
        <v>0</v>
      </c>
      <c r="E24" s="178">
        <v>-18766008.68</v>
      </c>
      <c r="F24" s="178">
        <v>0</v>
      </c>
      <c r="G24" s="178">
        <v>0</v>
      </c>
      <c r="H24" s="178">
        <v>-18766008.68</v>
      </c>
      <c r="I24" s="178">
        <v>-18766008.68</v>
      </c>
      <c r="J24" s="178" t="s">
        <v>497</v>
      </c>
    </row>
    <row r="25" spans="1:10">
      <c r="A25" s="178">
        <v>250</v>
      </c>
      <c r="B25" s="178" t="s">
        <v>373</v>
      </c>
      <c r="C25" s="178">
        <v>48515232.02</v>
      </c>
      <c r="D25" s="178">
        <v>0</v>
      </c>
      <c r="E25" s="178">
        <v>48515232.02</v>
      </c>
      <c r="F25" s="178">
        <v>-20957.86</v>
      </c>
      <c r="G25" s="178">
        <v>-20957.86</v>
      </c>
      <c r="H25" s="178">
        <v>48536189.88</v>
      </c>
      <c r="I25" s="178">
        <v>48536189.88</v>
      </c>
      <c r="J25" s="178" t="s">
        <v>497</v>
      </c>
    </row>
    <row r="26" spans="1:10">
      <c r="A26" s="178">
        <v>260</v>
      </c>
      <c r="B26" s="178" t="s">
        <v>374</v>
      </c>
      <c r="C26" s="178">
        <v>0</v>
      </c>
      <c r="D26" s="178">
        <v>0</v>
      </c>
      <c r="E26" s="178">
        <v>0</v>
      </c>
      <c r="F26" s="178">
        <v>0</v>
      </c>
      <c r="G26" s="178">
        <v>0</v>
      </c>
      <c r="H26" s="178">
        <v>0</v>
      </c>
      <c r="I26" s="178">
        <v>0</v>
      </c>
      <c r="J26" s="178" t="s">
        <v>497</v>
      </c>
    </row>
    <row r="27" spans="1:10">
      <c r="A27" s="178">
        <v>270</v>
      </c>
      <c r="B27" s="178" t="s">
        <v>375</v>
      </c>
      <c r="C27" s="178">
        <v>0</v>
      </c>
      <c r="D27" s="178">
        <v>0</v>
      </c>
      <c r="E27" s="178">
        <v>0</v>
      </c>
      <c r="F27" s="178">
        <v>0</v>
      </c>
      <c r="G27" s="178">
        <v>0</v>
      </c>
      <c r="H27" s="178">
        <v>0</v>
      </c>
      <c r="I27" s="178">
        <v>0</v>
      </c>
      <c r="J27" s="178" t="s">
        <v>497</v>
      </c>
    </row>
    <row r="28" spans="1:10">
      <c r="A28" s="178">
        <v>280</v>
      </c>
      <c r="B28" s="178" t="s">
        <v>550</v>
      </c>
      <c r="C28" s="178">
        <v>0</v>
      </c>
      <c r="D28" s="178">
        <v>0</v>
      </c>
      <c r="E28" s="178">
        <v>0</v>
      </c>
      <c r="F28" s="178">
        <v>0</v>
      </c>
      <c r="G28" s="178">
        <v>0</v>
      </c>
      <c r="H28" s="178">
        <v>0</v>
      </c>
      <c r="I28" s="178">
        <v>0</v>
      </c>
      <c r="J28" s="178" t="s">
        <v>497</v>
      </c>
    </row>
    <row r="29" spans="1:10">
      <c r="A29" s="178">
        <v>400</v>
      </c>
      <c r="B29" s="178" t="s">
        <v>377</v>
      </c>
      <c r="C29" s="178">
        <v>224404607.43</v>
      </c>
      <c r="D29" s="178">
        <v>0</v>
      </c>
      <c r="E29" s="178">
        <v>224404607.43</v>
      </c>
      <c r="F29" s="178">
        <v>161817.48</v>
      </c>
      <c r="G29" s="178">
        <v>161817.48</v>
      </c>
      <c r="H29" s="178">
        <v>224242789.95</v>
      </c>
      <c r="I29" s="178">
        <v>224242789.95</v>
      </c>
      <c r="J29" s="178" t="s">
        <v>497</v>
      </c>
    </row>
    <row r="30" spans="1:10">
      <c r="A30" s="178">
        <v>410</v>
      </c>
      <c r="B30" s="178" t="s">
        <v>551</v>
      </c>
      <c r="C30" s="178">
        <v>0</v>
      </c>
      <c r="D30" s="178">
        <v>0</v>
      </c>
      <c r="E30" s="178">
        <v>0</v>
      </c>
      <c r="F30" s="178">
        <v>0</v>
      </c>
      <c r="G30" s="178">
        <v>0</v>
      </c>
      <c r="H30" s="178">
        <v>0</v>
      </c>
      <c r="I30" s="178">
        <v>0</v>
      </c>
      <c r="J30" s="178" t="s">
        <v>497</v>
      </c>
    </row>
    <row r="31" spans="1:10">
      <c r="A31" s="178">
        <v>420</v>
      </c>
      <c r="B31" s="178" t="s">
        <v>270</v>
      </c>
      <c r="C31" s="178">
        <v>-2090792.92</v>
      </c>
      <c r="D31" s="178">
        <v>0</v>
      </c>
      <c r="E31" s="178">
        <v>-2090792.92</v>
      </c>
      <c r="F31" s="178">
        <v>-2596975</v>
      </c>
      <c r="G31" s="178">
        <v>-2596975</v>
      </c>
      <c r="H31" s="178">
        <v>506182.08</v>
      </c>
      <c r="I31" s="178">
        <v>506182.08</v>
      </c>
      <c r="J31" s="178" t="s">
        <v>497</v>
      </c>
    </row>
    <row r="32" spans="1:10">
      <c r="A32" s="178">
        <v>430</v>
      </c>
      <c r="B32" s="178" t="s">
        <v>379</v>
      </c>
      <c r="C32" s="178">
        <v>76315135.05</v>
      </c>
      <c r="D32" s="178">
        <v>0</v>
      </c>
      <c r="E32" s="178">
        <v>76315135.05</v>
      </c>
      <c r="F32" s="178">
        <v>-1934548.94</v>
      </c>
      <c r="G32" s="178">
        <v>-1934548.94</v>
      </c>
      <c r="H32" s="178">
        <v>78249683.99</v>
      </c>
      <c r="I32" s="178">
        <v>78249683.99</v>
      </c>
      <c r="J32" s="178" t="s">
        <v>497</v>
      </c>
    </row>
    <row r="33" spans="1:10">
      <c r="A33" s="178">
        <v>440</v>
      </c>
      <c r="B33" s="178" t="s">
        <v>380</v>
      </c>
      <c r="C33" s="178">
        <v>0</v>
      </c>
      <c r="D33" s="178">
        <v>0</v>
      </c>
      <c r="E33" s="178">
        <v>0</v>
      </c>
      <c r="F33" s="178">
        <v>0</v>
      </c>
      <c r="G33" s="178">
        <v>0</v>
      </c>
      <c r="H33" s="178">
        <v>0</v>
      </c>
      <c r="I33" s="178">
        <v>0</v>
      </c>
      <c r="J33" s="178" t="s">
        <v>497</v>
      </c>
    </row>
    <row r="34" spans="1:10">
      <c r="A34" s="178">
        <v>450</v>
      </c>
      <c r="B34" s="178" t="s">
        <v>552</v>
      </c>
      <c r="C34" s="178">
        <v>17005561.43</v>
      </c>
      <c r="D34" s="178">
        <v>0</v>
      </c>
      <c r="E34" s="178">
        <v>17005561.43</v>
      </c>
      <c r="F34" s="178">
        <v>-1526925</v>
      </c>
      <c r="G34" s="178">
        <v>-1526925</v>
      </c>
      <c r="H34" s="178">
        <v>18532486.43</v>
      </c>
      <c r="I34" s="178">
        <v>18532486.43</v>
      </c>
      <c r="J34" s="178" t="s">
        <v>497</v>
      </c>
    </row>
    <row r="35" spans="1:10">
      <c r="A35" s="178">
        <v>460</v>
      </c>
      <c r="B35" s="178" t="s">
        <v>553</v>
      </c>
      <c r="C35" s="178">
        <v>0</v>
      </c>
      <c r="D35" s="178">
        <v>0</v>
      </c>
      <c r="E35" s="178">
        <v>0</v>
      </c>
      <c r="F35" s="178">
        <v>0</v>
      </c>
      <c r="G35" s="178">
        <v>0</v>
      </c>
      <c r="H35" s="178">
        <v>0</v>
      </c>
      <c r="I35" s="178">
        <v>0</v>
      </c>
      <c r="J35" s="178" t="s">
        <v>497</v>
      </c>
    </row>
    <row r="36" spans="1:10">
      <c r="A36" s="178">
        <v>500</v>
      </c>
      <c r="B36" s="178" t="s">
        <v>383</v>
      </c>
      <c r="C36" s="178">
        <v>91229903.56</v>
      </c>
      <c r="D36" s="178">
        <v>0</v>
      </c>
      <c r="E36" s="178">
        <v>91229903.56</v>
      </c>
      <c r="F36" s="178">
        <v>-6058448.94</v>
      </c>
      <c r="G36" s="178">
        <v>-6058448.94</v>
      </c>
      <c r="H36" s="178">
        <v>97288352.5</v>
      </c>
      <c r="I36" s="178">
        <v>97288352.5</v>
      </c>
      <c r="J36" s="178" t="s">
        <v>497</v>
      </c>
    </row>
    <row r="37" spans="1:10">
      <c r="A37" s="178">
        <v>510</v>
      </c>
      <c r="B37" s="178" t="s">
        <v>554</v>
      </c>
      <c r="C37" s="178">
        <v>0</v>
      </c>
      <c r="D37" s="178">
        <v>0</v>
      </c>
      <c r="E37" s="178">
        <v>0</v>
      </c>
      <c r="F37" s="178">
        <v>0</v>
      </c>
      <c r="G37" s="178">
        <v>0</v>
      </c>
      <c r="H37" s="178">
        <v>0</v>
      </c>
      <c r="I37" s="178">
        <v>0</v>
      </c>
      <c r="J37" s="178" t="s">
        <v>497</v>
      </c>
    </row>
    <row r="38" spans="1:10">
      <c r="A38" s="178">
        <v>520</v>
      </c>
      <c r="B38" s="178" t="s">
        <v>555</v>
      </c>
      <c r="C38" s="178">
        <v>0</v>
      </c>
      <c r="D38" s="178">
        <v>0</v>
      </c>
      <c r="E38" s="178">
        <v>0</v>
      </c>
      <c r="F38" s="178">
        <v>0</v>
      </c>
      <c r="G38" s="178">
        <v>0</v>
      </c>
      <c r="H38" s="178">
        <v>0</v>
      </c>
      <c r="I38" s="178">
        <v>0</v>
      </c>
      <c r="J38" s="178" t="s">
        <v>497</v>
      </c>
    </row>
    <row r="39" spans="1:10">
      <c r="A39" s="178">
        <v>530</v>
      </c>
      <c r="B39" s="178" t="s">
        <v>555</v>
      </c>
      <c r="C39" s="178">
        <v>10241649</v>
      </c>
      <c r="D39" s="178">
        <v>0</v>
      </c>
      <c r="E39" s="178">
        <v>10241649</v>
      </c>
      <c r="F39" s="178">
        <v>3748957.78</v>
      </c>
      <c r="G39" s="178">
        <v>3748957.78</v>
      </c>
      <c r="H39" s="178">
        <v>6492691.22</v>
      </c>
      <c r="I39" s="178">
        <v>6492691.22</v>
      </c>
      <c r="J39" s="178" t="s">
        <v>497</v>
      </c>
    </row>
    <row r="40" spans="1:10">
      <c r="A40" s="178">
        <v>540</v>
      </c>
      <c r="B40" s="178" t="s">
        <v>387</v>
      </c>
      <c r="C40" s="178">
        <v>178684.83</v>
      </c>
      <c r="D40" s="178">
        <v>0</v>
      </c>
      <c r="E40" s="178">
        <v>178684.83</v>
      </c>
      <c r="F40" s="178">
        <v>-0.24</v>
      </c>
      <c r="G40" s="178">
        <v>-0.24</v>
      </c>
      <c r="H40" s="178">
        <v>178685.07</v>
      </c>
      <c r="I40" s="178">
        <v>178685.07</v>
      </c>
      <c r="J40" s="178" t="s">
        <v>497</v>
      </c>
    </row>
    <row r="41" spans="1:10">
      <c r="A41" s="178">
        <v>600</v>
      </c>
      <c r="B41" s="178" t="s">
        <v>388</v>
      </c>
      <c r="C41" s="178">
        <v>10420333.83</v>
      </c>
      <c r="D41" s="178">
        <v>0</v>
      </c>
      <c r="E41" s="178">
        <v>10420333.83</v>
      </c>
      <c r="F41" s="178">
        <v>3748957.54</v>
      </c>
      <c r="G41" s="178">
        <v>3748957.54</v>
      </c>
      <c r="H41" s="178">
        <v>6671376.29</v>
      </c>
      <c r="I41" s="178">
        <v>6671376.29</v>
      </c>
      <c r="J41" s="178" t="s">
        <v>497</v>
      </c>
    </row>
    <row r="42" spans="1:10">
      <c r="A42" s="178">
        <v>610</v>
      </c>
      <c r="B42" s="178" t="s">
        <v>556</v>
      </c>
      <c r="C42" s="178">
        <v>0</v>
      </c>
      <c r="D42" s="178">
        <v>0</v>
      </c>
      <c r="E42" s="178">
        <v>0</v>
      </c>
      <c r="F42" s="178">
        <v>0</v>
      </c>
      <c r="G42" s="178">
        <v>0</v>
      </c>
      <c r="H42" s="178">
        <v>0</v>
      </c>
      <c r="I42" s="178">
        <v>0</v>
      </c>
      <c r="J42" s="178" t="s">
        <v>497</v>
      </c>
    </row>
    <row r="43" spans="1:10">
      <c r="A43" s="178">
        <v>620</v>
      </c>
      <c r="B43" s="178" t="s">
        <v>390</v>
      </c>
      <c r="C43" s="178">
        <v>0</v>
      </c>
      <c r="D43" s="178">
        <v>0</v>
      </c>
      <c r="E43" s="178">
        <v>0</v>
      </c>
      <c r="F43" s="178">
        <v>0</v>
      </c>
      <c r="G43" s="178">
        <v>0</v>
      </c>
      <c r="H43" s="178">
        <v>0</v>
      </c>
      <c r="I43" s="178">
        <v>0</v>
      </c>
      <c r="J43" s="178" t="s">
        <v>497</v>
      </c>
    </row>
    <row r="44" spans="1:10">
      <c r="A44" s="178">
        <v>700</v>
      </c>
      <c r="B44" s="178" t="s">
        <v>557</v>
      </c>
      <c r="C44" s="178">
        <v>0</v>
      </c>
      <c r="D44" s="178">
        <v>0</v>
      </c>
      <c r="E44" s="178">
        <v>0</v>
      </c>
      <c r="F44" s="178">
        <v>0</v>
      </c>
      <c r="G44" s="178">
        <v>0</v>
      </c>
      <c r="H44" s="178">
        <v>0</v>
      </c>
      <c r="I44" s="178">
        <v>0</v>
      </c>
      <c r="J44" s="178" t="s">
        <v>497</v>
      </c>
    </row>
    <row r="45" spans="1:10">
      <c r="A45" s="178">
        <v>710</v>
      </c>
      <c r="B45" s="178" t="s">
        <v>558</v>
      </c>
      <c r="C45" s="178">
        <v>0</v>
      </c>
      <c r="D45" s="178">
        <v>0</v>
      </c>
      <c r="E45" s="178">
        <v>0</v>
      </c>
      <c r="F45" s="178">
        <v>0</v>
      </c>
      <c r="G45" s="178">
        <v>0</v>
      </c>
      <c r="H45" s="178">
        <v>0</v>
      </c>
      <c r="I45" s="178">
        <v>0</v>
      </c>
      <c r="J45" s="178" t="s">
        <v>497</v>
      </c>
    </row>
    <row r="46" spans="1:10">
      <c r="A46" s="178">
        <v>720</v>
      </c>
      <c r="B46" s="178" t="s">
        <v>276</v>
      </c>
      <c r="C46" s="178">
        <v>41730914.86</v>
      </c>
      <c r="D46" s="178">
        <v>0</v>
      </c>
      <c r="E46" s="178">
        <v>41730914.86</v>
      </c>
      <c r="F46" s="178">
        <v>0</v>
      </c>
      <c r="G46" s="178">
        <v>0</v>
      </c>
      <c r="H46" s="178">
        <v>41730914.86</v>
      </c>
      <c r="I46" s="178">
        <v>41730914.86</v>
      </c>
      <c r="J46" s="178" t="s">
        <v>497</v>
      </c>
    </row>
    <row r="47" spans="1:10">
      <c r="A47" s="178">
        <v>730</v>
      </c>
      <c r="B47" s="178" t="s">
        <v>393</v>
      </c>
      <c r="C47" s="178">
        <v>1368438.85</v>
      </c>
      <c r="D47" s="178">
        <v>0</v>
      </c>
      <c r="E47" s="178">
        <v>1368438.85</v>
      </c>
      <c r="F47" s="178">
        <v>0</v>
      </c>
      <c r="G47" s="178">
        <v>0</v>
      </c>
      <c r="H47" s="178">
        <v>1368438.85</v>
      </c>
      <c r="I47" s="178">
        <v>1368438.85</v>
      </c>
      <c r="J47" s="178" t="s">
        <v>497</v>
      </c>
    </row>
    <row r="48" spans="1:10">
      <c r="A48" s="178">
        <v>740</v>
      </c>
      <c r="B48" s="178" t="s">
        <v>394</v>
      </c>
      <c r="C48" s="178">
        <v>82268989.5</v>
      </c>
      <c r="D48" s="178">
        <v>0</v>
      </c>
      <c r="E48" s="178">
        <v>82268989.5</v>
      </c>
      <c r="F48" s="178">
        <v>0</v>
      </c>
      <c r="G48" s="178">
        <v>0</v>
      </c>
      <c r="H48" s="178">
        <v>70559878.71</v>
      </c>
      <c r="I48" s="178">
        <v>82268989.5</v>
      </c>
      <c r="J48" s="178" t="s">
        <v>497</v>
      </c>
    </row>
    <row r="49" spans="1:10">
      <c r="A49" s="178">
        <v>750</v>
      </c>
      <c r="B49" s="178" t="s">
        <v>395</v>
      </c>
      <c r="C49" s="178">
        <v>2471308.88</v>
      </c>
      <c r="D49" s="178">
        <v>0</v>
      </c>
      <c r="E49" s="178">
        <v>2471308.88</v>
      </c>
      <c r="F49" s="178">
        <v>2471308.88</v>
      </c>
      <c r="G49" s="178">
        <v>2471308.88</v>
      </c>
      <c r="H49" s="178">
        <v>11709110.79</v>
      </c>
      <c r="I49" s="178">
        <v>0</v>
      </c>
      <c r="J49" s="178" t="s">
        <v>497</v>
      </c>
    </row>
    <row r="50" spans="1:10">
      <c r="A50" s="178">
        <v>760</v>
      </c>
      <c r="B50" s="178" t="s">
        <v>396</v>
      </c>
      <c r="C50" s="178">
        <v>-4906411.97</v>
      </c>
      <c r="D50" s="178">
        <v>0</v>
      </c>
      <c r="E50" s="178">
        <v>-4906411.97</v>
      </c>
      <c r="F50" s="178">
        <v>0</v>
      </c>
      <c r="G50" s="178">
        <v>0</v>
      </c>
      <c r="H50" s="178">
        <v>-4906411.97</v>
      </c>
      <c r="I50" s="178">
        <v>-4906411.97</v>
      </c>
      <c r="J50" s="178" t="s">
        <v>497</v>
      </c>
    </row>
    <row r="51" spans="1:10">
      <c r="A51" s="178">
        <v>770</v>
      </c>
      <c r="B51" s="178" t="s">
        <v>397</v>
      </c>
      <c r="C51" s="178">
        <v>-178870.08</v>
      </c>
      <c r="D51" s="178">
        <v>0</v>
      </c>
      <c r="E51" s="178">
        <v>-178870.08</v>
      </c>
      <c r="F51" s="178">
        <v>0</v>
      </c>
      <c r="G51" s="178">
        <v>0</v>
      </c>
      <c r="H51" s="178">
        <v>-178870.08</v>
      </c>
      <c r="I51" s="178">
        <v>-178870.08</v>
      </c>
      <c r="J51" s="178" t="s">
        <v>497</v>
      </c>
    </row>
    <row r="52" spans="1:10">
      <c r="A52" s="178">
        <v>800</v>
      </c>
      <c r="B52" s="178" t="s">
        <v>398</v>
      </c>
      <c r="C52" s="178">
        <v>122754370.04</v>
      </c>
      <c r="D52" s="178">
        <v>0</v>
      </c>
      <c r="E52" s="178">
        <v>122754370.04</v>
      </c>
      <c r="F52" s="178">
        <v>2471308.88</v>
      </c>
      <c r="G52" s="178">
        <v>2471308.88</v>
      </c>
      <c r="H52" s="178">
        <v>120283061.16</v>
      </c>
      <c r="I52" s="178">
        <v>120283061.16</v>
      </c>
      <c r="J52" s="178" t="s">
        <v>497</v>
      </c>
    </row>
    <row r="53" spans="1:10">
      <c r="A53" s="178">
        <v>900</v>
      </c>
      <c r="B53" s="178" t="s">
        <v>399</v>
      </c>
      <c r="C53" s="178">
        <v>224404607.43</v>
      </c>
      <c r="D53" s="178">
        <v>0</v>
      </c>
      <c r="E53" s="178">
        <v>224404607.43</v>
      </c>
      <c r="F53" s="178">
        <v>161817.48</v>
      </c>
      <c r="G53" s="178">
        <v>161817.48</v>
      </c>
      <c r="H53" s="178">
        <v>224242789.95</v>
      </c>
      <c r="I53" s="178">
        <v>224242789.95</v>
      </c>
      <c r="J53" s="178" t="s">
        <v>497</v>
      </c>
    </row>
    <row r="54" spans="1:10">
      <c r="A54" s="178">
        <v>1000</v>
      </c>
      <c r="B54" s="178" t="s">
        <v>559</v>
      </c>
      <c r="C54" s="178">
        <v>0</v>
      </c>
      <c r="D54" s="178">
        <v>0</v>
      </c>
      <c r="E54" s="178">
        <v>0</v>
      </c>
      <c r="F54" s="178">
        <v>0</v>
      </c>
      <c r="G54" s="178">
        <v>0</v>
      </c>
      <c r="H54" s="178">
        <v>0</v>
      </c>
      <c r="I54" s="178">
        <v>0</v>
      </c>
      <c r="J54" s="178" t="s">
        <v>497</v>
      </c>
    </row>
    <row r="55" spans="1:10">
      <c r="A55" s="178" t="s">
        <v>428</v>
      </c>
      <c r="B55" s="178" t="s">
        <v>402</v>
      </c>
      <c r="C55" s="178" t="s">
        <v>538</v>
      </c>
      <c r="D55" s="178" t="s">
        <v>539</v>
      </c>
      <c r="E55" s="178" t="s">
        <v>540</v>
      </c>
      <c r="F55" s="178" t="s">
        <v>541</v>
      </c>
      <c r="G55" s="178" t="s">
        <v>542</v>
      </c>
      <c r="H55" s="178" t="s">
        <v>543</v>
      </c>
      <c r="I55" s="178" t="s">
        <v>544</v>
      </c>
      <c r="J55" s="178" t="s">
        <v>405</v>
      </c>
    </row>
    <row r="56" spans="1:10">
      <c r="A56" s="178">
        <v>10</v>
      </c>
      <c r="B56" s="178" t="s">
        <v>545</v>
      </c>
      <c r="C56" s="178">
        <v>0</v>
      </c>
      <c r="D56" s="178">
        <v>0</v>
      </c>
      <c r="E56" s="178">
        <v>0</v>
      </c>
      <c r="F56" s="178">
        <v>0</v>
      </c>
      <c r="G56" s="178">
        <v>0</v>
      </c>
      <c r="H56" s="178">
        <v>0</v>
      </c>
      <c r="I56" s="178">
        <v>0</v>
      </c>
      <c r="J56" s="178" t="s">
        <v>497</v>
      </c>
    </row>
    <row r="57" spans="1:10">
      <c r="A57" s="178">
        <v>20</v>
      </c>
      <c r="B57" s="178" t="s">
        <v>359</v>
      </c>
      <c r="C57" s="178">
        <v>1304375.54</v>
      </c>
      <c r="D57" s="178">
        <v>0</v>
      </c>
      <c r="E57" s="178">
        <v>1304375.54</v>
      </c>
      <c r="F57" s="178">
        <v>-1669516.74</v>
      </c>
      <c r="G57" s="178">
        <v>-1669516.74</v>
      </c>
      <c r="H57" s="178">
        <v>2973892.28</v>
      </c>
      <c r="I57" s="178">
        <v>2973892.28</v>
      </c>
      <c r="J57" s="178" t="s">
        <v>497</v>
      </c>
    </row>
    <row r="58" spans="1:10">
      <c r="A58" s="178">
        <v>30</v>
      </c>
      <c r="B58" s="178" t="s">
        <v>360</v>
      </c>
      <c r="C58" s="178">
        <v>3475678.78</v>
      </c>
      <c r="D58" s="178">
        <v>0</v>
      </c>
      <c r="E58" s="178">
        <v>3475678.78</v>
      </c>
      <c r="F58" s="178">
        <v>3473258.39</v>
      </c>
      <c r="G58" s="178">
        <v>3473258.39</v>
      </c>
      <c r="H58" s="178">
        <v>2420.39</v>
      </c>
      <c r="I58" s="178">
        <v>2420.39</v>
      </c>
      <c r="J58" s="178" t="s">
        <v>497</v>
      </c>
    </row>
    <row r="59" spans="1:10">
      <c r="A59" s="178">
        <v>40</v>
      </c>
      <c r="B59" s="178" t="s">
        <v>266</v>
      </c>
      <c r="C59" s="178">
        <v>10326947.5</v>
      </c>
      <c r="D59" s="178">
        <v>0</v>
      </c>
      <c r="E59" s="178">
        <v>10326947.5</v>
      </c>
      <c r="F59" s="178">
        <v>-482560.85</v>
      </c>
      <c r="G59" s="178">
        <v>-482560.85</v>
      </c>
      <c r="H59" s="178">
        <v>10809508.35</v>
      </c>
      <c r="I59" s="178">
        <v>10809508.35</v>
      </c>
      <c r="J59" s="178" t="s">
        <v>497</v>
      </c>
    </row>
    <row r="60" spans="1:10">
      <c r="A60" s="178">
        <v>50</v>
      </c>
      <c r="B60" s="178" t="s">
        <v>267</v>
      </c>
      <c r="C60" s="178">
        <v>9873811.47</v>
      </c>
      <c r="D60" s="178">
        <v>0</v>
      </c>
      <c r="E60" s="178">
        <v>9873811.47</v>
      </c>
      <c r="F60" s="178">
        <v>-172107.72</v>
      </c>
      <c r="G60" s="178">
        <v>-172107.72</v>
      </c>
      <c r="H60" s="178">
        <v>10045919.19</v>
      </c>
      <c r="I60" s="178">
        <v>10045919.19</v>
      </c>
      <c r="J60" s="178" t="s">
        <v>497</v>
      </c>
    </row>
    <row r="61" spans="1:10">
      <c r="A61" s="178">
        <v>60</v>
      </c>
      <c r="B61" s="178" t="s">
        <v>268</v>
      </c>
      <c r="C61" s="178">
        <v>0</v>
      </c>
      <c r="D61" s="178">
        <v>0</v>
      </c>
      <c r="E61" s="178">
        <v>0</v>
      </c>
      <c r="F61" s="178">
        <v>0</v>
      </c>
      <c r="G61" s="178">
        <v>0</v>
      </c>
      <c r="H61" s="178">
        <v>0</v>
      </c>
      <c r="I61" s="178">
        <v>0</v>
      </c>
      <c r="J61" s="178" t="s">
        <v>497</v>
      </c>
    </row>
    <row r="62" spans="1:10">
      <c r="A62" s="178">
        <v>70</v>
      </c>
      <c r="B62" s="178" t="s">
        <v>269</v>
      </c>
      <c r="C62" s="178">
        <v>7987383.41</v>
      </c>
      <c r="D62" s="178">
        <v>0</v>
      </c>
      <c r="E62" s="178">
        <v>7987383.41</v>
      </c>
      <c r="F62" s="178">
        <v>1617096.83</v>
      </c>
      <c r="G62" s="178">
        <v>1617096.83</v>
      </c>
      <c r="H62" s="178">
        <v>6370286.58</v>
      </c>
      <c r="I62" s="178">
        <v>6370286.58</v>
      </c>
      <c r="J62" s="178" t="s">
        <v>497</v>
      </c>
    </row>
    <row r="63" spans="1:10">
      <c r="A63" s="178">
        <v>80</v>
      </c>
      <c r="B63" s="178" t="s">
        <v>546</v>
      </c>
      <c r="C63" s="178">
        <v>162374.15</v>
      </c>
      <c r="D63" s="178">
        <v>0</v>
      </c>
      <c r="E63" s="178">
        <v>162374.15</v>
      </c>
      <c r="F63" s="178">
        <v>21392.89</v>
      </c>
      <c r="G63" s="178">
        <v>21392.89</v>
      </c>
      <c r="H63" s="178">
        <v>140981.26</v>
      </c>
      <c r="I63" s="178">
        <v>140981.26</v>
      </c>
      <c r="J63" s="178" t="s">
        <v>497</v>
      </c>
    </row>
    <row r="64" spans="1:10">
      <c r="A64" s="178">
        <v>100</v>
      </c>
      <c r="B64" s="178" t="s">
        <v>547</v>
      </c>
      <c r="C64" s="178">
        <v>33130570.85</v>
      </c>
      <c r="D64" s="178">
        <v>0</v>
      </c>
      <c r="E64" s="178">
        <v>33130570.85</v>
      </c>
      <c r="F64" s="178">
        <v>2787562.8</v>
      </c>
      <c r="G64" s="178">
        <v>2787562.8</v>
      </c>
      <c r="H64" s="178">
        <v>30343008.05</v>
      </c>
      <c r="I64" s="178">
        <v>30343008.05</v>
      </c>
      <c r="J64" s="178" t="s">
        <v>497</v>
      </c>
    </row>
    <row r="65" spans="1:10">
      <c r="A65" s="178">
        <v>110</v>
      </c>
      <c r="B65" s="178" t="s">
        <v>548</v>
      </c>
      <c r="C65" s="178">
        <v>0</v>
      </c>
      <c r="D65" s="178">
        <v>0</v>
      </c>
      <c r="E65" s="178">
        <v>0</v>
      </c>
      <c r="F65" s="178">
        <v>0</v>
      </c>
      <c r="G65" s="178">
        <v>0</v>
      </c>
      <c r="H65" s="178">
        <v>0</v>
      </c>
      <c r="I65" s="178">
        <v>0</v>
      </c>
      <c r="J65" s="178" t="s">
        <v>497</v>
      </c>
    </row>
    <row r="66" spans="1:10">
      <c r="A66" s="178">
        <v>120</v>
      </c>
      <c r="B66" s="178" t="s">
        <v>322</v>
      </c>
      <c r="C66" s="178">
        <v>0</v>
      </c>
      <c r="D66" s="178">
        <v>0</v>
      </c>
      <c r="E66" s="178">
        <v>0</v>
      </c>
      <c r="F66" s="178">
        <v>0</v>
      </c>
      <c r="G66" s="178">
        <v>0</v>
      </c>
      <c r="H66" s="178">
        <v>0</v>
      </c>
      <c r="I66" s="178">
        <v>0</v>
      </c>
      <c r="J66" s="178" t="s">
        <v>497</v>
      </c>
    </row>
    <row r="67" spans="1:10">
      <c r="A67" s="178">
        <v>130</v>
      </c>
      <c r="B67" s="178" t="s">
        <v>282</v>
      </c>
      <c r="C67" s="178">
        <v>0</v>
      </c>
      <c r="D67" s="178">
        <v>0</v>
      </c>
      <c r="E67" s="178">
        <v>0</v>
      </c>
      <c r="F67" s="178">
        <v>0</v>
      </c>
      <c r="G67" s="178">
        <v>0</v>
      </c>
      <c r="H67" s="178">
        <v>0</v>
      </c>
      <c r="I67" s="178">
        <v>0</v>
      </c>
      <c r="J67" s="178" t="s">
        <v>497</v>
      </c>
    </row>
    <row r="68" spans="1:10">
      <c r="A68" s="178">
        <v>140</v>
      </c>
      <c r="B68" s="178" t="s">
        <v>364</v>
      </c>
      <c r="C68" s="178">
        <v>47890.58</v>
      </c>
      <c r="D68" s="178">
        <v>0</v>
      </c>
      <c r="E68" s="178">
        <v>47890.58</v>
      </c>
      <c r="F68" s="178">
        <v>0</v>
      </c>
      <c r="G68" s="178">
        <v>0</v>
      </c>
      <c r="H68" s="178">
        <v>47890.58</v>
      </c>
      <c r="I68" s="178">
        <v>47890.58</v>
      </c>
      <c r="J68" s="178" t="s">
        <v>497</v>
      </c>
    </row>
    <row r="69" spans="1:10">
      <c r="A69" s="178">
        <v>150</v>
      </c>
      <c r="B69" s="178" t="s">
        <v>285</v>
      </c>
      <c r="C69" s="178">
        <v>0</v>
      </c>
      <c r="D69" s="178">
        <v>0</v>
      </c>
      <c r="E69" s="178">
        <v>0</v>
      </c>
      <c r="F69" s="178">
        <v>0</v>
      </c>
      <c r="G69" s="178">
        <v>0</v>
      </c>
      <c r="H69" s="178">
        <v>0</v>
      </c>
      <c r="I69" s="178">
        <v>0</v>
      </c>
      <c r="J69" s="178" t="s">
        <v>497</v>
      </c>
    </row>
    <row r="70" spans="1:10">
      <c r="A70" s="178">
        <v>160</v>
      </c>
      <c r="B70" s="178" t="s">
        <v>284</v>
      </c>
      <c r="C70" s="178">
        <v>0</v>
      </c>
      <c r="D70" s="178">
        <v>0</v>
      </c>
      <c r="E70" s="178">
        <v>0</v>
      </c>
      <c r="F70" s="178">
        <v>0</v>
      </c>
      <c r="G70" s="178">
        <v>0</v>
      </c>
      <c r="H70" s="178">
        <v>0</v>
      </c>
      <c r="I70" s="178">
        <v>0</v>
      </c>
      <c r="J70" s="178" t="s">
        <v>497</v>
      </c>
    </row>
    <row r="71" spans="1:10">
      <c r="A71" s="178">
        <v>170</v>
      </c>
      <c r="B71" s="178" t="s">
        <v>283</v>
      </c>
      <c r="C71" s="178">
        <v>0</v>
      </c>
      <c r="D71" s="178">
        <v>0</v>
      </c>
      <c r="E71" s="178">
        <v>0</v>
      </c>
      <c r="F71" s="178">
        <v>0</v>
      </c>
      <c r="G71" s="178">
        <v>0</v>
      </c>
      <c r="H71" s="178">
        <v>0</v>
      </c>
      <c r="I71" s="178">
        <v>0</v>
      </c>
      <c r="J71" s="178" t="s">
        <v>497</v>
      </c>
    </row>
    <row r="72" spans="1:10">
      <c r="A72" s="178">
        <v>180</v>
      </c>
      <c r="B72" s="178" t="s">
        <v>366</v>
      </c>
      <c r="C72" s="178">
        <v>0</v>
      </c>
      <c r="D72" s="178">
        <v>0</v>
      </c>
      <c r="E72" s="178">
        <v>0</v>
      </c>
      <c r="F72" s="178">
        <v>0</v>
      </c>
      <c r="G72" s="178">
        <v>0</v>
      </c>
      <c r="H72" s="178">
        <v>0</v>
      </c>
      <c r="I72" s="178">
        <v>0</v>
      </c>
      <c r="J72" s="178" t="s">
        <v>497</v>
      </c>
    </row>
    <row r="73" spans="1:10">
      <c r="A73" s="178">
        <v>190</v>
      </c>
      <c r="B73" s="178" t="s">
        <v>367</v>
      </c>
      <c r="C73" s="178">
        <v>-47890.58</v>
      </c>
      <c r="D73" s="178">
        <v>0</v>
      </c>
      <c r="E73" s="178">
        <v>-47890.58</v>
      </c>
      <c r="F73" s="178">
        <v>0</v>
      </c>
      <c r="G73" s="178">
        <v>0</v>
      </c>
      <c r="H73" s="178">
        <v>-47890.58</v>
      </c>
      <c r="I73" s="178">
        <v>-47890.58</v>
      </c>
      <c r="J73" s="178" t="s">
        <v>497</v>
      </c>
    </row>
    <row r="74" spans="1:10">
      <c r="A74" s="178">
        <v>200</v>
      </c>
      <c r="B74" s="178" t="s">
        <v>368</v>
      </c>
      <c r="C74" s="178">
        <v>0</v>
      </c>
      <c r="D74" s="178">
        <v>0</v>
      </c>
      <c r="E74" s="178">
        <v>0</v>
      </c>
      <c r="F74" s="178">
        <v>0</v>
      </c>
      <c r="G74" s="178">
        <v>0</v>
      </c>
      <c r="H74" s="178">
        <v>0</v>
      </c>
      <c r="I74" s="178">
        <v>0</v>
      </c>
      <c r="J74" s="178" t="s">
        <v>497</v>
      </c>
    </row>
    <row r="75" spans="1:10">
      <c r="A75" s="178">
        <v>210</v>
      </c>
      <c r="B75" s="178" t="s">
        <v>549</v>
      </c>
      <c r="C75" s="178">
        <v>0</v>
      </c>
      <c r="D75" s="178">
        <v>0</v>
      </c>
      <c r="E75" s="178">
        <v>0</v>
      </c>
      <c r="F75" s="178">
        <v>0</v>
      </c>
      <c r="G75" s="178">
        <v>0</v>
      </c>
      <c r="H75" s="178">
        <v>0</v>
      </c>
      <c r="I75" s="178">
        <v>0</v>
      </c>
      <c r="J75" s="178" t="s">
        <v>497</v>
      </c>
    </row>
    <row r="76" spans="1:10">
      <c r="A76" s="178">
        <v>220</v>
      </c>
      <c r="B76" s="178" t="s">
        <v>370</v>
      </c>
      <c r="C76" s="178">
        <v>10093019.59</v>
      </c>
      <c r="D76" s="178">
        <v>0</v>
      </c>
      <c r="E76" s="178">
        <v>10093019.59</v>
      </c>
      <c r="F76" s="178">
        <v>0</v>
      </c>
      <c r="G76" s="178">
        <v>0</v>
      </c>
      <c r="H76" s="178">
        <v>10093019.59</v>
      </c>
      <c r="I76" s="178">
        <v>10093019.59</v>
      </c>
      <c r="J76" s="178" t="s">
        <v>497</v>
      </c>
    </row>
    <row r="77" spans="1:10">
      <c r="A77" s="178">
        <v>230</v>
      </c>
      <c r="B77" s="178" t="s">
        <v>371</v>
      </c>
      <c r="C77" s="178">
        <v>0</v>
      </c>
      <c r="D77" s="178">
        <v>0</v>
      </c>
      <c r="E77" s="178">
        <v>0</v>
      </c>
      <c r="F77" s="178">
        <v>0</v>
      </c>
      <c r="G77" s="178">
        <v>0</v>
      </c>
      <c r="H77" s="178">
        <v>0</v>
      </c>
      <c r="I77" s="178">
        <v>0</v>
      </c>
      <c r="J77" s="178" t="s">
        <v>497</v>
      </c>
    </row>
    <row r="78" spans="1:10">
      <c r="A78" s="178">
        <v>240</v>
      </c>
      <c r="B78" s="178" t="s">
        <v>372</v>
      </c>
      <c r="C78" s="178">
        <v>-2056065.09</v>
      </c>
      <c r="D78" s="178">
        <v>0</v>
      </c>
      <c r="E78" s="178">
        <v>-2056065.09</v>
      </c>
      <c r="F78" s="178">
        <v>0</v>
      </c>
      <c r="G78" s="178">
        <v>0</v>
      </c>
      <c r="H78" s="178">
        <v>-2056065.09</v>
      </c>
      <c r="I78" s="178">
        <v>-2056065.09</v>
      </c>
      <c r="J78" s="178" t="s">
        <v>497</v>
      </c>
    </row>
    <row r="79" spans="1:10">
      <c r="A79" s="178">
        <v>250</v>
      </c>
      <c r="B79" s="178" t="s">
        <v>373</v>
      </c>
      <c r="C79" s="178">
        <v>8036954.5</v>
      </c>
      <c r="D79" s="178">
        <v>0</v>
      </c>
      <c r="E79" s="178">
        <v>8036954.5</v>
      </c>
      <c r="F79" s="178">
        <v>0</v>
      </c>
      <c r="G79" s="178">
        <v>0</v>
      </c>
      <c r="H79" s="178">
        <v>8036954.5</v>
      </c>
      <c r="I79" s="178">
        <v>8036954.5</v>
      </c>
      <c r="J79" s="178" t="s">
        <v>497</v>
      </c>
    </row>
    <row r="80" spans="1:10">
      <c r="A80" s="178">
        <v>260</v>
      </c>
      <c r="B80" s="178" t="s">
        <v>374</v>
      </c>
      <c r="C80" s="178">
        <v>0</v>
      </c>
      <c r="D80" s="178">
        <v>0</v>
      </c>
      <c r="E80" s="178">
        <v>0</v>
      </c>
      <c r="F80" s="178">
        <v>0</v>
      </c>
      <c r="G80" s="178">
        <v>0</v>
      </c>
      <c r="H80" s="178">
        <v>0</v>
      </c>
      <c r="I80" s="178">
        <v>0</v>
      </c>
      <c r="J80" s="178" t="s">
        <v>497</v>
      </c>
    </row>
    <row r="81" spans="1:10">
      <c r="A81" s="178">
        <v>270</v>
      </c>
      <c r="B81" s="178" t="s">
        <v>375</v>
      </c>
      <c r="C81" s="178">
        <v>0</v>
      </c>
      <c r="D81" s="178">
        <v>0</v>
      </c>
      <c r="E81" s="178">
        <v>0</v>
      </c>
      <c r="F81" s="178">
        <v>0</v>
      </c>
      <c r="G81" s="178">
        <v>0</v>
      </c>
      <c r="H81" s="178">
        <v>0</v>
      </c>
      <c r="I81" s="178">
        <v>0</v>
      </c>
      <c r="J81" s="178" t="s">
        <v>497</v>
      </c>
    </row>
    <row r="82" spans="1:10">
      <c r="A82" s="178">
        <v>280</v>
      </c>
      <c r="B82" s="178" t="s">
        <v>550</v>
      </c>
      <c r="C82" s="178">
        <v>0</v>
      </c>
      <c r="D82" s="178">
        <v>0</v>
      </c>
      <c r="E82" s="178">
        <v>0</v>
      </c>
      <c r="F82" s="178">
        <v>0</v>
      </c>
      <c r="G82" s="178">
        <v>0</v>
      </c>
      <c r="H82" s="178">
        <v>0</v>
      </c>
      <c r="I82" s="178">
        <v>0</v>
      </c>
      <c r="J82" s="178" t="s">
        <v>497</v>
      </c>
    </row>
    <row r="83" spans="1:10">
      <c r="A83" s="178">
        <v>400</v>
      </c>
      <c r="B83" s="178" t="s">
        <v>377</v>
      </c>
      <c r="C83" s="178">
        <v>41167525.35</v>
      </c>
      <c r="D83" s="178">
        <v>0</v>
      </c>
      <c r="E83" s="178">
        <v>41167525.35</v>
      </c>
      <c r="F83" s="178">
        <v>2787562.8</v>
      </c>
      <c r="G83" s="178">
        <v>2787562.8</v>
      </c>
      <c r="H83" s="178">
        <v>38379962.55</v>
      </c>
      <c r="I83" s="178">
        <v>38379962.55</v>
      </c>
      <c r="J83" s="178" t="s">
        <v>497</v>
      </c>
    </row>
    <row r="84" spans="1:10">
      <c r="A84" s="178">
        <v>410</v>
      </c>
      <c r="B84" s="178" t="s">
        <v>551</v>
      </c>
      <c r="C84" s="178">
        <v>0</v>
      </c>
      <c r="D84" s="178">
        <v>0</v>
      </c>
      <c r="E84" s="178">
        <v>0</v>
      </c>
      <c r="F84" s="178">
        <v>0</v>
      </c>
      <c r="G84" s="178">
        <v>0</v>
      </c>
      <c r="H84" s="178">
        <v>0</v>
      </c>
      <c r="I84" s="178">
        <v>0</v>
      </c>
      <c r="J84" s="178" t="s">
        <v>497</v>
      </c>
    </row>
    <row r="85" spans="1:10">
      <c r="A85" s="178">
        <v>420</v>
      </c>
      <c r="B85" s="178" t="s">
        <v>270</v>
      </c>
      <c r="C85" s="178">
        <v>0</v>
      </c>
      <c r="D85" s="178">
        <v>0</v>
      </c>
      <c r="E85" s="178">
        <v>0</v>
      </c>
      <c r="F85" s="178">
        <v>0</v>
      </c>
      <c r="G85" s="178">
        <v>0</v>
      </c>
      <c r="H85" s="178">
        <v>0</v>
      </c>
      <c r="I85" s="178">
        <v>0</v>
      </c>
      <c r="J85" s="178" t="s">
        <v>497</v>
      </c>
    </row>
    <row r="86" spans="1:10">
      <c r="A86" s="178">
        <v>430</v>
      </c>
      <c r="B86" s="178" t="s">
        <v>379</v>
      </c>
      <c r="C86" s="178">
        <v>30426132.28</v>
      </c>
      <c r="D86" s="178">
        <v>0</v>
      </c>
      <c r="E86" s="178">
        <v>30426132.28</v>
      </c>
      <c r="F86" s="178">
        <v>1870410.77</v>
      </c>
      <c r="G86" s="178">
        <v>1870410.77</v>
      </c>
      <c r="H86" s="178">
        <v>28555721.51</v>
      </c>
      <c r="I86" s="178">
        <v>28555721.51</v>
      </c>
      <c r="J86" s="178" t="s">
        <v>497</v>
      </c>
    </row>
    <row r="87" spans="1:10">
      <c r="A87" s="178">
        <v>440</v>
      </c>
      <c r="B87" s="178" t="s">
        <v>380</v>
      </c>
      <c r="C87" s="178">
        <v>0</v>
      </c>
      <c r="D87" s="178">
        <v>0</v>
      </c>
      <c r="E87" s="178">
        <v>0</v>
      </c>
      <c r="F87" s="178">
        <v>0</v>
      </c>
      <c r="G87" s="178">
        <v>0</v>
      </c>
      <c r="H87" s="178">
        <v>0</v>
      </c>
      <c r="I87" s="178">
        <v>0</v>
      </c>
      <c r="J87" s="178" t="s">
        <v>497</v>
      </c>
    </row>
    <row r="88" spans="1:10">
      <c r="A88" s="178">
        <v>450</v>
      </c>
      <c r="B88" s="178" t="s">
        <v>552</v>
      </c>
      <c r="C88" s="178">
        <v>2079727.88</v>
      </c>
      <c r="D88" s="178">
        <v>0</v>
      </c>
      <c r="E88" s="178">
        <v>2079727.88</v>
      </c>
      <c r="F88" s="178">
        <v>-212165.31</v>
      </c>
      <c r="G88" s="178">
        <v>-212165.31</v>
      </c>
      <c r="H88" s="178">
        <v>2291893.19</v>
      </c>
      <c r="I88" s="178">
        <v>2291893.19</v>
      </c>
      <c r="J88" s="178" t="s">
        <v>497</v>
      </c>
    </row>
    <row r="89" spans="1:10">
      <c r="A89" s="178">
        <v>460</v>
      </c>
      <c r="B89" s="178" t="s">
        <v>553</v>
      </c>
      <c r="C89" s="178">
        <v>0</v>
      </c>
      <c r="D89" s="178">
        <v>0</v>
      </c>
      <c r="E89" s="178">
        <v>0</v>
      </c>
      <c r="F89" s="178">
        <v>0</v>
      </c>
      <c r="G89" s="178">
        <v>0</v>
      </c>
      <c r="H89" s="178">
        <v>0</v>
      </c>
      <c r="I89" s="178">
        <v>0</v>
      </c>
      <c r="J89" s="178" t="s">
        <v>497</v>
      </c>
    </row>
    <row r="90" spans="1:10">
      <c r="A90" s="178">
        <v>500</v>
      </c>
      <c r="B90" s="178" t="s">
        <v>383</v>
      </c>
      <c r="C90" s="178">
        <v>32505860.16</v>
      </c>
      <c r="D90" s="178">
        <v>0</v>
      </c>
      <c r="E90" s="178">
        <v>32505860.16</v>
      </c>
      <c r="F90" s="178">
        <v>1658245.46</v>
      </c>
      <c r="G90" s="178">
        <v>1658245.46</v>
      </c>
      <c r="H90" s="178">
        <v>30847614.7</v>
      </c>
      <c r="I90" s="178">
        <v>30847614.7</v>
      </c>
      <c r="J90" s="178" t="s">
        <v>497</v>
      </c>
    </row>
    <row r="91" spans="1:10">
      <c r="A91" s="178">
        <v>510</v>
      </c>
      <c r="B91" s="178" t="s">
        <v>554</v>
      </c>
      <c r="C91" s="178">
        <v>0</v>
      </c>
      <c r="D91" s="178">
        <v>0</v>
      </c>
      <c r="E91" s="178">
        <v>0</v>
      </c>
      <c r="F91" s="178">
        <v>0</v>
      </c>
      <c r="G91" s="178">
        <v>0</v>
      </c>
      <c r="H91" s="178">
        <v>0</v>
      </c>
      <c r="I91" s="178">
        <v>0</v>
      </c>
      <c r="J91" s="178" t="s">
        <v>497</v>
      </c>
    </row>
    <row r="92" spans="1:10">
      <c r="A92" s="178">
        <v>520</v>
      </c>
      <c r="B92" s="178" t="s">
        <v>555</v>
      </c>
      <c r="C92" s="178">
        <v>0</v>
      </c>
      <c r="D92" s="178">
        <v>0</v>
      </c>
      <c r="E92" s="178">
        <v>0</v>
      </c>
      <c r="F92" s="178">
        <v>0</v>
      </c>
      <c r="G92" s="178">
        <v>0</v>
      </c>
      <c r="H92" s="178">
        <v>0</v>
      </c>
      <c r="I92" s="178">
        <v>0</v>
      </c>
      <c r="J92" s="178" t="s">
        <v>497</v>
      </c>
    </row>
    <row r="93" spans="1:10">
      <c r="A93" s="178">
        <v>530</v>
      </c>
      <c r="B93" s="178" t="s">
        <v>555</v>
      </c>
      <c r="C93" s="178">
        <v>0</v>
      </c>
      <c r="D93" s="178">
        <v>0</v>
      </c>
      <c r="E93" s="178">
        <v>0</v>
      </c>
      <c r="F93" s="178">
        <v>0</v>
      </c>
      <c r="G93" s="178">
        <v>0</v>
      </c>
      <c r="H93" s="178">
        <v>0</v>
      </c>
      <c r="I93" s="178">
        <v>0</v>
      </c>
      <c r="J93" s="178" t="s">
        <v>497</v>
      </c>
    </row>
    <row r="94" spans="1:10">
      <c r="A94" s="178">
        <v>540</v>
      </c>
      <c r="B94" s="178" t="s">
        <v>387</v>
      </c>
      <c r="C94" s="178">
        <v>0</v>
      </c>
      <c r="D94" s="178">
        <v>0</v>
      </c>
      <c r="E94" s="178">
        <v>0</v>
      </c>
      <c r="F94" s="178">
        <v>0</v>
      </c>
      <c r="G94" s="178">
        <v>0</v>
      </c>
      <c r="H94" s="178">
        <v>0</v>
      </c>
      <c r="I94" s="178">
        <v>0</v>
      </c>
      <c r="J94" s="178" t="s">
        <v>497</v>
      </c>
    </row>
    <row r="95" spans="1:10">
      <c r="A95" s="178">
        <v>600</v>
      </c>
      <c r="B95" s="178" t="s">
        <v>388</v>
      </c>
      <c r="C95" s="178">
        <v>0</v>
      </c>
      <c r="D95" s="178">
        <v>0</v>
      </c>
      <c r="E95" s="178">
        <v>0</v>
      </c>
      <c r="F95" s="178">
        <v>0</v>
      </c>
      <c r="G95" s="178">
        <v>0</v>
      </c>
      <c r="H95" s="178">
        <v>0</v>
      </c>
      <c r="I95" s="178">
        <v>0</v>
      </c>
      <c r="J95" s="178" t="s">
        <v>497</v>
      </c>
    </row>
    <row r="96" spans="1:10">
      <c r="A96" s="178">
        <v>610</v>
      </c>
      <c r="B96" s="178" t="s">
        <v>556</v>
      </c>
      <c r="C96" s="178">
        <v>0</v>
      </c>
      <c r="D96" s="178">
        <v>0</v>
      </c>
      <c r="E96" s="178">
        <v>0</v>
      </c>
      <c r="F96" s="178">
        <v>0</v>
      </c>
      <c r="G96" s="178">
        <v>0</v>
      </c>
      <c r="H96" s="178">
        <v>0</v>
      </c>
      <c r="I96" s="178">
        <v>0</v>
      </c>
      <c r="J96" s="178" t="s">
        <v>497</v>
      </c>
    </row>
    <row r="97" spans="1:10">
      <c r="A97" s="178">
        <v>620</v>
      </c>
      <c r="B97" s="178" t="s">
        <v>390</v>
      </c>
      <c r="C97" s="178">
        <v>0</v>
      </c>
      <c r="D97" s="178">
        <v>0</v>
      </c>
      <c r="E97" s="178">
        <v>0</v>
      </c>
      <c r="F97" s="178">
        <v>0</v>
      </c>
      <c r="G97" s="178">
        <v>0</v>
      </c>
      <c r="H97" s="178">
        <v>0</v>
      </c>
      <c r="I97" s="178">
        <v>0</v>
      </c>
      <c r="J97" s="178" t="s">
        <v>497</v>
      </c>
    </row>
    <row r="98" spans="1:10">
      <c r="A98" s="178">
        <v>700</v>
      </c>
      <c r="B98" s="178" t="s">
        <v>557</v>
      </c>
      <c r="C98" s="178">
        <v>0</v>
      </c>
      <c r="D98" s="178">
        <v>0</v>
      </c>
      <c r="E98" s="178">
        <v>0</v>
      </c>
      <c r="F98" s="178">
        <v>0</v>
      </c>
      <c r="G98" s="178">
        <v>0</v>
      </c>
      <c r="H98" s="178">
        <v>0</v>
      </c>
      <c r="I98" s="178">
        <v>0</v>
      </c>
      <c r="J98" s="178" t="s">
        <v>497</v>
      </c>
    </row>
    <row r="99" spans="1:10">
      <c r="A99" s="178">
        <v>710</v>
      </c>
      <c r="B99" s="178" t="s">
        <v>558</v>
      </c>
      <c r="C99" s="178">
        <v>0</v>
      </c>
      <c r="D99" s="178">
        <v>0</v>
      </c>
      <c r="E99" s="178">
        <v>0</v>
      </c>
      <c r="F99" s="178">
        <v>0</v>
      </c>
      <c r="G99" s="178">
        <v>0</v>
      </c>
      <c r="H99" s="178">
        <v>0</v>
      </c>
      <c r="I99" s="178">
        <v>0</v>
      </c>
      <c r="J99" s="178" t="s">
        <v>497</v>
      </c>
    </row>
    <row r="100" spans="1:10">
      <c r="A100" s="178">
        <v>720</v>
      </c>
      <c r="B100" s="178" t="s">
        <v>276</v>
      </c>
      <c r="C100" s="178">
        <v>2524577.33</v>
      </c>
      <c r="D100" s="178">
        <v>0</v>
      </c>
      <c r="E100" s="178">
        <v>2524577.33</v>
      </c>
      <c r="F100" s="178">
        <v>0</v>
      </c>
      <c r="G100" s="178">
        <v>0</v>
      </c>
      <c r="H100" s="178">
        <v>2524577.33</v>
      </c>
      <c r="I100" s="178">
        <v>2524577.33</v>
      </c>
      <c r="J100" s="178" t="s">
        <v>497</v>
      </c>
    </row>
    <row r="101" spans="1:10">
      <c r="A101" s="178">
        <v>730</v>
      </c>
      <c r="B101" s="178" t="s">
        <v>393</v>
      </c>
      <c r="C101" s="178">
        <v>96209.42</v>
      </c>
      <c r="D101" s="178">
        <v>0</v>
      </c>
      <c r="E101" s="178">
        <v>96209.42</v>
      </c>
      <c r="F101" s="178">
        <v>0</v>
      </c>
      <c r="G101" s="178">
        <v>0</v>
      </c>
      <c r="H101" s="178">
        <v>96209.42</v>
      </c>
      <c r="I101" s="178">
        <v>96209.42</v>
      </c>
      <c r="J101" s="178" t="s">
        <v>497</v>
      </c>
    </row>
    <row r="102" spans="1:10">
      <c r="A102" s="178">
        <v>740</v>
      </c>
      <c r="B102" s="178" t="s">
        <v>394</v>
      </c>
      <c r="C102" s="178">
        <v>9124499.2</v>
      </c>
      <c r="D102" s="178">
        <v>0</v>
      </c>
      <c r="E102" s="178">
        <v>9124499.2</v>
      </c>
      <c r="F102" s="178">
        <v>0</v>
      </c>
      <c r="G102" s="178">
        <v>0</v>
      </c>
      <c r="H102" s="178">
        <v>4100845.67</v>
      </c>
      <c r="I102" s="178">
        <v>9124499.2</v>
      </c>
      <c r="J102" s="178" t="s">
        <v>497</v>
      </c>
    </row>
    <row r="103" spans="1:10">
      <c r="A103" s="178">
        <v>750</v>
      </c>
      <c r="B103" s="178" t="s">
        <v>395</v>
      </c>
      <c r="C103" s="178">
        <v>1129317.34</v>
      </c>
      <c r="D103" s="178">
        <v>0</v>
      </c>
      <c r="E103" s="178">
        <v>1129317.34</v>
      </c>
      <c r="F103" s="178">
        <v>1129317.34</v>
      </c>
      <c r="G103" s="178">
        <v>1129317.34</v>
      </c>
      <c r="H103" s="178">
        <v>5023653.53</v>
      </c>
      <c r="I103" s="178">
        <v>0</v>
      </c>
      <c r="J103" s="178" t="s">
        <v>497</v>
      </c>
    </row>
    <row r="104" spans="1:10">
      <c r="A104" s="178">
        <v>760</v>
      </c>
      <c r="B104" s="178" t="s">
        <v>396</v>
      </c>
      <c r="C104" s="178">
        <v>-4212938.1</v>
      </c>
      <c r="D104" s="178">
        <v>0</v>
      </c>
      <c r="E104" s="178">
        <v>-4212938.1</v>
      </c>
      <c r="F104" s="178">
        <v>0</v>
      </c>
      <c r="G104" s="178">
        <v>0</v>
      </c>
      <c r="H104" s="178">
        <v>-4212938.1</v>
      </c>
      <c r="I104" s="178">
        <v>-4212938.1</v>
      </c>
      <c r="J104" s="178" t="s">
        <v>497</v>
      </c>
    </row>
    <row r="105" spans="1:10">
      <c r="A105" s="178">
        <v>770</v>
      </c>
      <c r="B105" s="178" t="s">
        <v>397</v>
      </c>
      <c r="C105" s="178">
        <v>0</v>
      </c>
      <c r="D105" s="178">
        <v>0</v>
      </c>
      <c r="E105" s="178">
        <v>0</v>
      </c>
      <c r="F105" s="178">
        <v>0</v>
      </c>
      <c r="G105" s="178">
        <v>0</v>
      </c>
      <c r="H105" s="178">
        <v>0</v>
      </c>
      <c r="I105" s="178">
        <v>0</v>
      </c>
      <c r="J105" s="178" t="s">
        <v>497</v>
      </c>
    </row>
    <row r="106" spans="1:10">
      <c r="A106" s="178">
        <v>800</v>
      </c>
      <c r="B106" s="178" t="s">
        <v>398</v>
      </c>
      <c r="C106" s="178">
        <v>8661665.19</v>
      </c>
      <c r="D106" s="178">
        <v>0</v>
      </c>
      <c r="E106" s="178">
        <v>8661665.19</v>
      </c>
      <c r="F106" s="178">
        <v>1129317.34</v>
      </c>
      <c r="G106" s="178">
        <v>1129317.34</v>
      </c>
      <c r="H106" s="178">
        <v>7532347.85</v>
      </c>
      <c r="I106" s="178">
        <v>7532347.85</v>
      </c>
      <c r="J106" s="178" t="s">
        <v>497</v>
      </c>
    </row>
    <row r="107" spans="1:10">
      <c r="A107" s="178">
        <v>900</v>
      </c>
      <c r="B107" s="178" t="s">
        <v>399</v>
      </c>
      <c r="C107" s="178">
        <v>41167525.35</v>
      </c>
      <c r="D107" s="178">
        <v>0</v>
      </c>
      <c r="E107" s="178">
        <v>41167525.35</v>
      </c>
      <c r="F107" s="178">
        <v>2787562.8</v>
      </c>
      <c r="G107" s="178">
        <v>2787562.8</v>
      </c>
      <c r="H107" s="178">
        <v>38379962.55</v>
      </c>
      <c r="I107" s="178">
        <v>38379962.55</v>
      </c>
      <c r="J107" s="178" t="s">
        <v>497</v>
      </c>
    </row>
    <row r="108" spans="1:10">
      <c r="A108" s="178">
        <v>1000</v>
      </c>
      <c r="B108" s="178" t="s">
        <v>559</v>
      </c>
      <c r="C108" s="178">
        <v>0</v>
      </c>
      <c r="D108" s="178">
        <v>0</v>
      </c>
      <c r="E108" s="178">
        <v>0</v>
      </c>
      <c r="F108" s="178">
        <v>0</v>
      </c>
      <c r="G108" s="178">
        <v>0</v>
      </c>
      <c r="H108" s="178">
        <v>0</v>
      </c>
      <c r="I108" s="178">
        <v>0</v>
      </c>
      <c r="J108" s="178" t="s">
        <v>497</v>
      </c>
    </row>
    <row r="109" spans="1:10">
      <c r="A109" s="178" t="s">
        <v>430</v>
      </c>
      <c r="B109" s="178" t="s">
        <v>402</v>
      </c>
      <c r="C109" s="178" t="s">
        <v>538</v>
      </c>
      <c r="D109" s="178" t="s">
        <v>539</v>
      </c>
      <c r="E109" s="178" t="s">
        <v>540</v>
      </c>
      <c r="F109" s="178" t="s">
        <v>541</v>
      </c>
      <c r="G109" s="178" t="s">
        <v>542</v>
      </c>
      <c r="H109" s="178" t="s">
        <v>543</v>
      </c>
      <c r="I109" s="178" t="s">
        <v>544</v>
      </c>
      <c r="J109" s="178" t="s">
        <v>405</v>
      </c>
    </row>
    <row r="110" spans="1:10">
      <c r="A110" s="178">
        <v>10</v>
      </c>
      <c r="B110" s="178" t="s">
        <v>545</v>
      </c>
      <c r="C110" s="178">
        <v>0</v>
      </c>
      <c r="D110" s="178">
        <v>0</v>
      </c>
      <c r="E110" s="178">
        <v>0</v>
      </c>
      <c r="F110" s="178">
        <v>0</v>
      </c>
      <c r="G110" s="178">
        <v>0</v>
      </c>
      <c r="H110" s="178">
        <v>0</v>
      </c>
      <c r="I110" s="178">
        <v>0</v>
      </c>
      <c r="J110" s="178" t="s">
        <v>497</v>
      </c>
    </row>
    <row r="111" spans="1:10">
      <c r="A111" s="178">
        <v>20</v>
      </c>
      <c r="B111" s="178" t="s">
        <v>359</v>
      </c>
      <c r="C111" s="178">
        <v>1036921.42</v>
      </c>
      <c r="D111" s="178">
        <v>0</v>
      </c>
      <c r="E111" s="178">
        <v>1036921.42</v>
      </c>
      <c r="F111" s="178">
        <v>419045.25</v>
      </c>
      <c r="G111" s="178">
        <v>419045.25</v>
      </c>
      <c r="H111" s="178">
        <v>617876.17</v>
      </c>
      <c r="I111" s="178">
        <v>617876.17</v>
      </c>
      <c r="J111" s="178" t="s">
        <v>497</v>
      </c>
    </row>
    <row r="112" spans="1:10">
      <c r="A112" s="178">
        <v>30</v>
      </c>
      <c r="B112" s="178" t="s">
        <v>360</v>
      </c>
      <c r="C112" s="178">
        <v>1575431.4</v>
      </c>
      <c r="D112" s="178">
        <v>0</v>
      </c>
      <c r="E112" s="178">
        <v>1575431.4</v>
      </c>
      <c r="F112" s="178">
        <v>1575431.4</v>
      </c>
      <c r="G112" s="178">
        <v>1575431.4</v>
      </c>
      <c r="H112" s="178">
        <v>0</v>
      </c>
      <c r="I112" s="178">
        <v>0</v>
      </c>
      <c r="J112" s="178" t="s">
        <v>497</v>
      </c>
    </row>
    <row r="113" spans="1:10">
      <c r="A113" s="178">
        <v>40</v>
      </c>
      <c r="B113" s="178" t="s">
        <v>266</v>
      </c>
      <c r="C113" s="178">
        <v>11777401</v>
      </c>
      <c r="D113" s="178">
        <v>0</v>
      </c>
      <c r="E113" s="178">
        <v>11777401</v>
      </c>
      <c r="F113" s="178">
        <v>-5765409.93</v>
      </c>
      <c r="G113" s="178">
        <v>-5765409.93</v>
      </c>
      <c r="H113" s="178">
        <v>17542810.93</v>
      </c>
      <c r="I113" s="178">
        <v>17542810.93</v>
      </c>
      <c r="J113" s="178" t="s">
        <v>497</v>
      </c>
    </row>
    <row r="114" spans="1:10">
      <c r="A114" s="178">
        <v>50</v>
      </c>
      <c r="B114" s="178" t="s">
        <v>267</v>
      </c>
      <c r="C114" s="178">
        <v>18940358.41</v>
      </c>
      <c r="D114" s="178">
        <v>0</v>
      </c>
      <c r="E114" s="178">
        <v>18940358.41</v>
      </c>
      <c r="F114" s="178">
        <v>499408.68</v>
      </c>
      <c r="G114" s="178">
        <v>499408.68</v>
      </c>
      <c r="H114" s="178">
        <v>18440949.73</v>
      </c>
      <c r="I114" s="178">
        <v>18440949.73</v>
      </c>
      <c r="J114" s="178" t="s">
        <v>497</v>
      </c>
    </row>
    <row r="115" spans="1:10">
      <c r="A115" s="178">
        <v>60</v>
      </c>
      <c r="B115" s="178" t="s">
        <v>268</v>
      </c>
      <c r="C115" s="178">
        <v>11624588.86</v>
      </c>
      <c r="D115" s="178">
        <v>0</v>
      </c>
      <c r="E115" s="178">
        <v>11624588.86</v>
      </c>
      <c r="F115" s="178">
        <v>-1038806.73</v>
      </c>
      <c r="G115" s="178">
        <v>-1038806.73</v>
      </c>
      <c r="H115" s="178">
        <v>12663395.59</v>
      </c>
      <c r="I115" s="178">
        <v>12663395.59</v>
      </c>
      <c r="J115" s="178" t="s">
        <v>497</v>
      </c>
    </row>
    <row r="116" spans="1:10">
      <c r="A116" s="178">
        <v>70</v>
      </c>
      <c r="B116" s="178" t="s">
        <v>269</v>
      </c>
      <c r="C116" s="178">
        <v>5856175.29</v>
      </c>
      <c r="D116" s="178">
        <v>0</v>
      </c>
      <c r="E116" s="178">
        <v>5856175.29</v>
      </c>
      <c r="F116" s="178">
        <v>3452569.84</v>
      </c>
      <c r="G116" s="178">
        <v>3452569.84</v>
      </c>
      <c r="H116" s="178">
        <v>2403605.45</v>
      </c>
      <c r="I116" s="178">
        <v>2403605.45</v>
      </c>
      <c r="J116" s="178" t="s">
        <v>497</v>
      </c>
    </row>
    <row r="117" spans="1:10">
      <c r="A117" s="178">
        <v>80</v>
      </c>
      <c r="B117" s="178" t="s">
        <v>546</v>
      </c>
      <c r="C117" s="178">
        <v>41623043.87</v>
      </c>
      <c r="D117" s="178">
        <v>0</v>
      </c>
      <c r="E117" s="178">
        <v>41623043.87</v>
      </c>
      <c r="F117" s="178">
        <v>-170305.72</v>
      </c>
      <c r="G117" s="178">
        <v>-170305.72</v>
      </c>
      <c r="H117" s="178">
        <v>41793349.59</v>
      </c>
      <c r="I117" s="178">
        <v>41793349.59</v>
      </c>
      <c r="J117" s="178" t="s">
        <v>497</v>
      </c>
    </row>
    <row r="118" spans="1:10">
      <c r="A118" s="178">
        <v>100</v>
      </c>
      <c r="B118" s="178" t="s">
        <v>547</v>
      </c>
      <c r="C118" s="178">
        <v>92433920.25</v>
      </c>
      <c r="D118" s="178">
        <v>0</v>
      </c>
      <c r="E118" s="178">
        <v>92433920.25</v>
      </c>
      <c r="F118" s="178">
        <v>-1028067.21</v>
      </c>
      <c r="G118" s="178">
        <v>-1028067.21</v>
      </c>
      <c r="H118" s="178">
        <v>93461987.46</v>
      </c>
      <c r="I118" s="178">
        <v>93461987.46</v>
      </c>
      <c r="J118" s="178" t="s">
        <v>497</v>
      </c>
    </row>
    <row r="119" spans="1:10">
      <c r="A119" s="178">
        <v>110</v>
      </c>
      <c r="B119" s="178" t="s">
        <v>548</v>
      </c>
      <c r="C119" s="178">
        <v>0</v>
      </c>
      <c r="D119" s="178">
        <v>0</v>
      </c>
      <c r="E119" s="178">
        <v>0</v>
      </c>
      <c r="F119" s="178">
        <v>0</v>
      </c>
      <c r="G119" s="178">
        <v>0</v>
      </c>
      <c r="H119" s="178">
        <v>0</v>
      </c>
      <c r="I119" s="178">
        <v>0</v>
      </c>
      <c r="J119" s="178" t="s">
        <v>497</v>
      </c>
    </row>
    <row r="120" spans="1:10">
      <c r="A120" s="178">
        <v>120</v>
      </c>
      <c r="B120" s="178" t="s">
        <v>322</v>
      </c>
      <c r="C120" s="178">
        <v>0</v>
      </c>
      <c r="D120" s="178">
        <v>0</v>
      </c>
      <c r="E120" s="178">
        <v>0</v>
      </c>
      <c r="F120" s="178">
        <v>0</v>
      </c>
      <c r="G120" s="178">
        <v>0</v>
      </c>
      <c r="H120" s="178">
        <v>0</v>
      </c>
      <c r="I120" s="178">
        <v>0</v>
      </c>
      <c r="J120" s="178" t="s">
        <v>497</v>
      </c>
    </row>
    <row r="121" spans="1:10">
      <c r="A121" s="178">
        <v>130</v>
      </c>
      <c r="B121" s="178" t="s">
        <v>282</v>
      </c>
      <c r="C121" s="178">
        <v>4335063.59</v>
      </c>
      <c r="D121" s="178">
        <v>0</v>
      </c>
      <c r="E121" s="178">
        <v>4335063.59</v>
      </c>
      <c r="F121" s="178">
        <v>0</v>
      </c>
      <c r="G121" s="178">
        <v>0</v>
      </c>
      <c r="H121" s="178">
        <v>4335063.59</v>
      </c>
      <c r="I121" s="178">
        <v>4335063.59</v>
      </c>
      <c r="J121" s="178" t="s">
        <v>497</v>
      </c>
    </row>
    <row r="122" spans="1:10">
      <c r="A122" s="178">
        <v>140</v>
      </c>
      <c r="B122" s="178" t="s">
        <v>364</v>
      </c>
      <c r="C122" s="178">
        <v>1110307.74</v>
      </c>
      <c r="D122" s="178">
        <v>0</v>
      </c>
      <c r="E122" s="178">
        <v>1110307.74</v>
      </c>
      <c r="F122" s="178">
        <v>0</v>
      </c>
      <c r="G122" s="178">
        <v>0</v>
      </c>
      <c r="H122" s="178">
        <v>1110307.74</v>
      </c>
      <c r="I122" s="178">
        <v>1110307.74</v>
      </c>
      <c r="J122" s="178" t="s">
        <v>497</v>
      </c>
    </row>
    <row r="123" spans="1:10">
      <c r="A123" s="178">
        <v>150</v>
      </c>
      <c r="B123" s="178" t="s">
        <v>285</v>
      </c>
      <c r="C123" s="178">
        <v>1087607.7</v>
      </c>
      <c r="D123" s="178">
        <v>0</v>
      </c>
      <c r="E123" s="178">
        <v>1087607.7</v>
      </c>
      <c r="F123" s="178">
        <v>0</v>
      </c>
      <c r="G123" s="178">
        <v>0</v>
      </c>
      <c r="H123" s="178">
        <v>1087607.7</v>
      </c>
      <c r="I123" s="178">
        <v>1087607.7</v>
      </c>
      <c r="J123" s="178" t="s">
        <v>497</v>
      </c>
    </row>
    <row r="124" spans="1:10">
      <c r="A124" s="178">
        <v>160</v>
      </c>
      <c r="B124" s="178" t="s">
        <v>284</v>
      </c>
      <c r="C124" s="178">
        <v>18678105.41</v>
      </c>
      <c r="D124" s="178">
        <v>0</v>
      </c>
      <c r="E124" s="178">
        <v>18678105.41</v>
      </c>
      <c r="F124" s="178">
        <v>0</v>
      </c>
      <c r="G124" s="178">
        <v>0</v>
      </c>
      <c r="H124" s="178">
        <v>18678105.41</v>
      </c>
      <c r="I124" s="178">
        <v>18678105.41</v>
      </c>
      <c r="J124" s="178" t="s">
        <v>497</v>
      </c>
    </row>
    <row r="125" spans="1:10">
      <c r="A125" s="178">
        <v>170</v>
      </c>
      <c r="B125" s="178" t="s">
        <v>283</v>
      </c>
      <c r="C125" s="178">
        <v>16287899.4</v>
      </c>
      <c r="D125" s="178">
        <v>0</v>
      </c>
      <c r="E125" s="178">
        <v>16287899.4</v>
      </c>
      <c r="F125" s="178">
        <v>0</v>
      </c>
      <c r="G125" s="178">
        <v>0</v>
      </c>
      <c r="H125" s="178">
        <v>16287899.4</v>
      </c>
      <c r="I125" s="178">
        <v>16287899.4</v>
      </c>
      <c r="J125" s="178" t="s">
        <v>497</v>
      </c>
    </row>
    <row r="126" spans="1:10">
      <c r="A126" s="178">
        <v>180</v>
      </c>
      <c r="B126" s="178" t="s">
        <v>366</v>
      </c>
      <c r="C126" s="178">
        <v>0</v>
      </c>
      <c r="D126" s="178">
        <v>0</v>
      </c>
      <c r="E126" s="178">
        <v>0</v>
      </c>
      <c r="F126" s="178">
        <v>0</v>
      </c>
      <c r="G126" s="178">
        <v>0</v>
      </c>
      <c r="H126" s="178">
        <v>0</v>
      </c>
      <c r="I126" s="178">
        <v>0</v>
      </c>
      <c r="J126" s="178" t="s">
        <v>497</v>
      </c>
    </row>
    <row r="127" spans="1:10">
      <c r="A127" s="178">
        <v>190</v>
      </c>
      <c r="B127" s="178" t="s">
        <v>367</v>
      </c>
      <c r="C127" s="178">
        <v>-17563827.13</v>
      </c>
      <c r="D127" s="178">
        <v>0</v>
      </c>
      <c r="E127" s="178">
        <v>-17563827.13</v>
      </c>
      <c r="F127" s="178">
        <v>-76904.41</v>
      </c>
      <c r="G127" s="178">
        <v>-76904.41</v>
      </c>
      <c r="H127" s="178">
        <v>-17486922.72</v>
      </c>
      <c r="I127" s="178">
        <v>-17486922.72</v>
      </c>
      <c r="J127" s="178" t="s">
        <v>497</v>
      </c>
    </row>
    <row r="128" spans="1:10">
      <c r="A128" s="178">
        <v>200</v>
      </c>
      <c r="B128" s="178" t="s">
        <v>368</v>
      </c>
      <c r="C128" s="178">
        <v>23935156.71</v>
      </c>
      <c r="D128" s="178">
        <v>0</v>
      </c>
      <c r="E128" s="178">
        <v>23935156.71</v>
      </c>
      <c r="F128" s="178">
        <v>-76904.41</v>
      </c>
      <c r="G128" s="178">
        <v>-76904.41</v>
      </c>
      <c r="H128" s="178">
        <v>24012061.12</v>
      </c>
      <c r="I128" s="178">
        <v>24012061.12</v>
      </c>
      <c r="J128" s="178" t="s">
        <v>497</v>
      </c>
    </row>
    <row r="129" spans="1:10">
      <c r="A129" s="178">
        <v>210</v>
      </c>
      <c r="B129" s="178" t="s">
        <v>549</v>
      </c>
      <c r="C129" s="178">
        <v>0</v>
      </c>
      <c r="D129" s="178">
        <v>0</v>
      </c>
      <c r="E129" s="178">
        <v>0</v>
      </c>
      <c r="F129" s="178">
        <v>0</v>
      </c>
      <c r="G129" s="178">
        <v>0</v>
      </c>
      <c r="H129" s="178">
        <v>0</v>
      </c>
      <c r="I129" s="178">
        <v>0</v>
      </c>
      <c r="J129" s="178" t="s">
        <v>497</v>
      </c>
    </row>
    <row r="130" spans="1:10">
      <c r="A130" s="178">
        <v>220</v>
      </c>
      <c r="B130" s="178" t="s">
        <v>370</v>
      </c>
      <c r="C130" s="178">
        <v>15254300.77</v>
      </c>
      <c r="D130" s="178">
        <v>0</v>
      </c>
      <c r="E130" s="178">
        <v>15254300.77</v>
      </c>
      <c r="F130" s="178">
        <v>-5313.49</v>
      </c>
      <c r="G130" s="178">
        <v>-5313.49</v>
      </c>
      <c r="H130" s="178">
        <v>15259614.26</v>
      </c>
      <c r="I130" s="178">
        <v>15259614.26</v>
      </c>
      <c r="J130" s="178" t="s">
        <v>497</v>
      </c>
    </row>
    <row r="131" spans="1:10">
      <c r="A131" s="178">
        <v>230</v>
      </c>
      <c r="B131" s="178" t="s">
        <v>371</v>
      </c>
      <c r="C131" s="178">
        <v>4378525.16</v>
      </c>
      <c r="D131" s="178">
        <v>0</v>
      </c>
      <c r="E131" s="178">
        <v>4378525.16</v>
      </c>
      <c r="F131" s="178">
        <v>570536.12</v>
      </c>
      <c r="G131" s="178">
        <v>570536.12</v>
      </c>
      <c r="H131" s="178">
        <v>3807989.04</v>
      </c>
      <c r="I131" s="178">
        <v>3807989.04</v>
      </c>
      <c r="J131" s="178" t="s">
        <v>497</v>
      </c>
    </row>
    <row r="132" spans="1:10">
      <c r="A132" s="178">
        <v>240</v>
      </c>
      <c r="B132" s="178" t="s">
        <v>372</v>
      </c>
      <c r="C132" s="178">
        <v>-6757894.8</v>
      </c>
      <c r="D132" s="178">
        <v>0</v>
      </c>
      <c r="E132" s="178">
        <v>-6757894.8</v>
      </c>
      <c r="F132" s="178">
        <v>-33124.67</v>
      </c>
      <c r="G132" s="178">
        <v>-33124.67</v>
      </c>
      <c r="H132" s="178">
        <v>-6724770.13</v>
      </c>
      <c r="I132" s="178">
        <v>-6724770.13</v>
      </c>
      <c r="J132" s="178" t="s">
        <v>497</v>
      </c>
    </row>
    <row r="133" spans="1:10">
      <c r="A133" s="178">
        <v>250</v>
      </c>
      <c r="B133" s="178" t="s">
        <v>373</v>
      </c>
      <c r="C133" s="178">
        <v>12874931.13</v>
      </c>
      <c r="D133" s="178">
        <v>0</v>
      </c>
      <c r="E133" s="178">
        <v>12874931.13</v>
      </c>
      <c r="F133" s="178">
        <v>532097.96</v>
      </c>
      <c r="G133" s="178">
        <v>532097.96</v>
      </c>
      <c r="H133" s="178">
        <v>12342833.17</v>
      </c>
      <c r="I133" s="178">
        <v>12342833.17</v>
      </c>
      <c r="J133" s="178" t="s">
        <v>497</v>
      </c>
    </row>
    <row r="134" spans="1:10">
      <c r="A134" s="178">
        <v>260</v>
      </c>
      <c r="B134" s="178" t="s">
        <v>374</v>
      </c>
      <c r="C134" s="178">
        <v>0</v>
      </c>
      <c r="D134" s="178">
        <v>0</v>
      </c>
      <c r="E134" s="178">
        <v>0</v>
      </c>
      <c r="F134" s="178">
        <v>0</v>
      </c>
      <c r="G134" s="178">
        <v>0</v>
      </c>
      <c r="H134" s="178">
        <v>0</v>
      </c>
      <c r="I134" s="178">
        <v>0</v>
      </c>
      <c r="J134" s="178" t="s">
        <v>497</v>
      </c>
    </row>
    <row r="135" spans="1:10">
      <c r="A135" s="178">
        <v>270</v>
      </c>
      <c r="B135" s="178" t="s">
        <v>375</v>
      </c>
      <c r="C135" s="178">
        <v>0</v>
      </c>
      <c r="D135" s="178">
        <v>0</v>
      </c>
      <c r="E135" s="178">
        <v>0</v>
      </c>
      <c r="F135" s="178">
        <v>0</v>
      </c>
      <c r="G135" s="178">
        <v>0</v>
      </c>
      <c r="H135" s="178">
        <v>0</v>
      </c>
      <c r="I135" s="178">
        <v>0</v>
      </c>
      <c r="J135" s="178" t="s">
        <v>497</v>
      </c>
    </row>
    <row r="136" spans="1:10">
      <c r="A136" s="178">
        <v>280</v>
      </c>
      <c r="B136" s="178" t="s">
        <v>550</v>
      </c>
      <c r="C136" s="178">
        <v>0</v>
      </c>
      <c r="D136" s="178">
        <v>0</v>
      </c>
      <c r="E136" s="178">
        <v>0</v>
      </c>
      <c r="F136" s="178">
        <v>0</v>
      </c>
      <c r="G136" s="178">
        <v>0</v>
      </c>
      <c r="H136" s="178">
        <v>0</v>
      </c>
      <c r="I136" s="178">
        <v>0</v>
      </c>
      <c r="J136" s="178" t="s">
        <v>497</v>
      </c>
    </row>
    <row r="137" spans="1:10">
      <c r="A137" s="178">
        <v>400</v>
      </c>
      <c r="B137" s="178" t="s">
        <v>377</v>
      </c>
      <c r="C137" s="178">
        <v>129244008.09</v>
      </c>
      <c r="D137" s="178">
        <v>0</v>
      </c>
      <c r="E137" s="178">
        <v>129244008.09</v>
      </c>
      <c r="F137" s="178">
        <v>-572873.66</v>
      </c>
      <c r="G137" s="178">
        <v>-572873.66</v>
      </c>
      <c r="H137" s="178">
        <v>129816881.75</v>
      </c>
      <c r="I137" s="178">
        <v>129816881.75</v>
      </c>
      <c r="J137" s="178" t="s">
        <v>497</v>
      </c>
    </row>
    <row r="138" spans="1:10">
      <c r="A138" s="178">
        <v>410</v>
      </c>
      <c r="B138" s="178" t="s">
        <v>551</v>
      </c>
      <c r="C138" s="178">
        <v>0</v>
      </c>
      <c r="D138" s="178">
        <v>0</v>
      </c>
      <c r="E138" s="178">
        <v>0</v>
      </c>
      <c r="F138" s="178">
        <v>0</v>
      </c>
      <c r="G138" s="178">
        <v>0</v>
      </c>
      <c r="H138" s="178">
        <v>0</v>
      </c>
      <c r="I138" s="178">
        <v>0</v>
      </c>
      <c r="J138" s="178" t="s">
        <v>497</v>
      </c>
    </row>
    <row r="139" spans="1:10">
      <c r="A139" s="178">
        <v>420</v>
      </c>
      <c r="B139" s="178" t="s">
        <v>270</v>
      </c>
      <c r="C139" s="178">
        <v>-483887.21</v>
      </c>
      <c r="D139" s="178">
        <v>0</v>
      </c>
      <c r="E139" s="178">
        <v>-483887.21</v>
      </c>
      <c r="F139" s="178">
        <v>-3857805.34</v>
      </c>
      <c r="G139" s="178">
        <v>-3857805.34</v>
      </c>
      <c r="H139" s="178">
        <v>3373918.13</v>
      </c>
      <c r="I139" s="178">
        <v>3373918.13</v>
      </c>
      <c r="J139" s="178" t="s">
        <v>497</v>
      </c>
    </row>
    <row r="140" spans="1:10">
      <c r="A140" s="178">
        <v>430</v>
      </c>
      <c r="B140" s="178" t="s">
        <v>379</v>
      </c>
      <c r="C140" s="178">
        <v>41731557.12</v>
      </c>
      <c r="D140" s="178">
        <v>0</v>
      </c>
      <c r="E140" s="178">
        <v>41731557.12</v>
      </c>
      <c r="F140" s="178">
        <v>5016448.21</v>
      </c>
      <c r="G140" s="178">
        <v>5016448.21</v>
      </c>
      <c r="H140" s="178">
        <v>36715108.91</v>
      </c>
      <c r="I140" s="178">
        <v>36715108.91</v>
      </c>
      <c r="J140" s="178" t="s">
        <v>497</v>
      </c>
    </row>
    <row r="141" spans="1:10">
      <c r="A141" s="178">
        <v>440</v>
      </c>
      <c r="B141" s="178" t="s">
        <v>380</v>
      </c>
      <c r="C141" s="178">
        <v>0</v>
      </c>
      <c r="D141" s="178">
        <v>0</v>
      </c>
      <c r="E141" s="178">
        <v>0</v>
      </c>
      <c r="F141" s="178">
        <v>0</v>
      </c>
      <c r="G141" s="178">
        <v>0</v>
      </c>
      <c r="H141" s="178">
        <v>0</v>
      </c>
      <c r="I141" s="178">
        <v>0</v>
      </c>
      <c r="J141" s="178" t="s">
        <v>497</v>
      </c>
    </row>
    <row r="142" spans="1:10">
      <c r="A142" s="178">
        <v>450</v>
      </c>
      <c r="B142" s="178" t="s">
        <v>552</v>
      </c>
      <c r="C142" s="178">
        <v>20631028.65</v>
      </c>
      <c r="D142" s="178">
        <v>0</v>
      </c>
      <c r="E142" s="178">
        <v>20631028.65</v>
      </c>
      <c r="F142" s="178">
        <v>-1909501.15</v>
      </c>
      <c r="G142" s="178">
        <v>-1909501.15</v>
      </c>
      <c r="H142" s="178">
        <v>22540529.8</v>
      </c>
      <c r="I142" s="178">
        <v>22540529.8</v>
      </c>
      <c r="J142" s="178" t="s">
        <v>497</v>
      </c>
    </row>
    <row r="143" spans="1:10">
      <c r="A143" s="178">
        <v>460</v>
      </c>
      <c r="B143" s="178" t="s">
        <v>553</v>
      </c>
      <c r="C143" s="178">
        <v>0</v>
      </c>
      <c r="D143" s="178">
        <v>0</v>
      </c>
      <c r="E143" s="178">
        <v>0</v>
      </c>
      <c r="F143" s="178">
        <v>0</v>
      </c>
      <c r="G143" s="178">
        <v>0</v>
      </c>
      <c r="H143" s="178">
        <v>0</v>
      </c>
      <c r="I143" s="178">
        <v>0</v>
      </c>
      <c r="J143" s="178" t="s">
        <v>497</v>
      </c>
    </row>
    <row r="144" spans="1:10">
      <c r="A144" s="178">
        <v>500</v>
      </c>
      <c r="B144" s="178" t="s">
        <v>383</v>
      </c>
      <c r="C144" s="178">
        <v>61878698.56</v>
      </c>
      <c r="D144" s="178">
        <v>0</v>
      </c>
      <c r="E144" s="178">
        <v>61878698.56</v>
      </c>
      <c r="F144" s="178">
        <v>-750858.28</v>
      </c>
      <c r="G144" s="178">
        <v>-750858.28</v>
      </c>
      <c r="H144" s="178">
        <v>62629556.84</v>
      </c>
      <c r="I144" s="178">
        <v>62629556.84</v>
      </c>
      <c r="J144" s="178" t="s">
        <v>497</v>
      </c>
    </row>
    <row r="145" spans="1:10">
      <c r="A145" s="178">
        <v>510</v>
      </c>
      <c r="B145" s="178" t="s">
        <v>554</v>
      </c>
      <c r="C145" s="178">
        <v>0</v>
      </c>
      <c r="D145" s="178">
        <v>0</v>
      </c>
      <c r="E145" s="178">
        <v>0</v>
      </c>
      <c r="F145" s="178">
        <v>0</v>
      </c>
      <c r="G145" s="178">
        <v>0</v>
      </c>
      <c r="H145" s="178">
        <v>0</v>
      </c>
      <c r="I145" s="178">
        <v>0</v>
      </c>
      <c r="J145" s="178" t="s">
        <v>497</v>
      </c>
    </row>
    <row r="146" spans="1:10">
      <c r="A146" s="178">
        <v>520</v>
      </c>
      <c r="B146" s="178" t="s">
        <v>555</v>
      </c>
      <c r="C146" s="178">
        <v>0</v>
      </c>
      <c r="D146" s="178">
        <v>0</v>
      </c>
      <c r="E146" s="178">
        <v>0</v>
      </c>
      <c r="F146" s="178">
        <v>0</v>
      </c>
      <c r="G146" s="178">
        <v>0</v>
      </c>
      <c r="H146" s="178">
        <v>0</v>
      </c>
      <c r="I146" s="178">
        <v>0</v>
      </c>
      <c r="J146" s="178" t="s">
        <v>497</v>
      </c>
    </row>
    <row r="147" spans="1:10">
      <c r="A147" s="178">
        <v>530</v>
      </c>
      <c r="B147" s="178" t="s">
        <v>555</v>
      </c>
      <c r="C147" s="178">
        <v>12731103.96</v>
      </c>
      <c r="D147" s="178">
        <v>0</v>
      </c>
      <c r="E147" s="178">
        <v>12731103.96</v>
      </c>
      <c r="F147" s="178">
        <v>-107661.46</v>
      </c>
      <c r="G147" s="178">
        <v>-107661.46</v>
      </c>
      <c r="H147" s="178">
        <v>12838765.42</v>
      </c>
      <c r="I147" s="178">
        <v>12838765.42</v>
      </c>
      <c r="J147" s="178" t="s">
        <v>497</v>
      </c>
    </row>
    <row r="148" spans="1:10">
      <c r="A148" s="178">
        <v>540</v>
      </c>
      <c r="B148" s="178" t="s">
        <v>387</v>
      </c>
      <c r="C148" s="178">
        <v>20956.3</v>
      </c>
      <c r="D148" s="178">
        <v>0</v>
      </c>
      <c r="E148" s="178">
        <v>20956.3</v>
      </c>
      <c r="F148" s="178">
        <v>0</v>
      </c>
      <c r="G148" s="178">
        <v>0</v>
      </c>
      <c r="H148" s="178">
        <v>20956.3</v>
      </c>
      <c r="I148" s="178">
        <v>20956.3</v>
      </c>
      <c r="J148" s="178" t="s">
        <v>497</v>
      </c>
    </row>
    <row r="149" spans="1:10">
      <c r="A149" s="178">
        <v>600</v>
      </c>
      <c r="B149" s="178" t="s">
        <v>388</v>
      </c>
      <c r="C149" s="178">
        <v>12752060.26</v>
      </c>
      <c r="D149" s="178">
        <v>0</v>
      </c>
      <c r="E149" s="178">
        <v>12752060.26</v>
      </c>
      <c r="F149" s="178">
        <v>-107661.46</v>
      </c>
      <c r="G149" s="178">
        <v>-107661.46</v>
      </c>
      <c r="H149" s="178">
        <v>12859721.72</v>
      </c>
      <c r="I149" s="178">
        <v>12859721.72</v>
      </c>
      <c r="J149" s="178" t="s">
        <v>497</v>
      </c>
    </row>
    <row r="150" spans="1:10">
      <c r="A150" s="178">
        <v>610</v>
      </c>
      <c r="B150" s="178" t="s">
        <v>556</v>
      </c>
      <c r="C150" s="178">
        <v>0</v>
      </c>
      <c r="D150" s="178">
        <v>0</v>
      </c>
      <c r="E150" s="178">
        <v>0</v>
      </c>
      <c r="F150" s="178">
        <v>0</v>
      </c>
      <c r="G150" s="178">
        <v>0</v>
      </c>
      <c r="H150" s="178">
        <v>0</v>
      </c>
      <c r="I150" s="178">
        <v>0</v>
      </c>
      <c r="J150" s="178" t="s">
        <v>497</v>
      </c>
    </row>
    <row r="151" spans="1:10">
      <c r="A151" s="178">
        <v>620</v>
      </c>
      <c r="B151" s="178" t="s">
        <v>390</v>
      </c>
      <c r="C151" s="178">
        <v>0</v>
      </c>
      <c r="D151" s="178">
        <v>0</v>
      </c>
      <c r="E151" s="178">
        <v>0</v>
      </c>
      <c r="F151" s="178">
        <v>0</v>
      </c>
      <c r="G151" s="178">
        <v>0</v>
      </c>
      <c r="H151" s="178">
        <v>0</v>
      </c>
      <c r="I151" s="178">
        <v>0</v>
      </c>
      <c r="J151" s="178" t="s">
        <v>497</v>
      </c>
    </row>
    <row r="152" spans="1:10">
      <c r="A152" s="178">
        <v>700</v>
      </c>
      <c r="B152" s="178" t="s">
        <v>557</v>
      </c>
      <c r="C152" s="178">
        <v>0</v>
      </c>
      <c r="D152" s="178">
        <v>0</v>
      </c>
      <c r="E152" s="178">
        <v>0</v>
      </c>
      <c r="F152" s="178">
        <v>0</v>
      </c>
      <c r="G152" s="178">
        <v>0</v>
      </c>
      <c r="H152" s="178">
        <v>0</v>
      </c>
      <c r="I152" s="178">
        <v>0</v>
      </c>
      <c r="J152" s="178" t="s">
        <v>497</v>
      </c>
    </row>
    <row r="153" spans="1:10">
      <c r="A153" s="178">
        <v>710</v>
      </c>
      <c r="B153" s="178" t="s">
        <v>558</v>
      </c>
      <c r="C153" s="178">
        <v>0</v>
      </c>
      <c r="D153" s="178">
        <v>0</v>
      </c>
      <c r="E153" s="178">
        <v>0</v>
      </c>
      <c r="F153" s="178">
        <v>0</v>
      </c>
      <c r="G153" s="178">
        <v>0</v>
      </c>
      <c r="H153" s="178">
        <v>0</v>
      </c>
      <c r="I153" s="178">
        <v>0</v>
      </c>
      <c r="J153" s="178" t="s">
        <v>497</v>
      </c>
    </row>
    <row r="154" spans="1:10">
      <c r="A154" s="178">
        <v>720</v>
      </c>
      <c r="B154" s="178" t="s">
        <v>276</v>
      </c>
      <c r="C154" s="178">
        <v>27768120.98</v>
      </c>
      <c r="D154" s="178">
        <v>0</v>
      </c>
      <c r="E154" s="178">
        <v>27768120.98</v>
      </c>
      <c r="F154" s="178">
        <v>0</v>
      </c>
      <c r="G154" s="178">
        <v>0</v>
      </c>
      <c r="H154" s="178">
        <v>27768120.98</v>
      </c>
      <c r="I154" s="178">
        <v>27768120.98</v>
      </c>
      <c r="J154" s="178" t="s">
        <v>497</v>
      </c>
    </row>
    <row r="155" spans="1:10">
      <c r="A155" s="178">
        <v>730</v>
      </c>
      <c r="B155" s="178" t="s">
        <v>393</v>
      </c>
      <c r="C155" s="178">
        <v>143708.13</v>
      </c>
      <c r="D155" s="178">
        <v>0</v>
      </c>
      <c r="E155" s="178">
        <v>143708.13</v>
      </c>
      <c r="F155" s="178">
        <v>0</v>
      </c>
      <c r="G155" s="178">
        <v>0</v>
      </c>
      <c r="H155" s="178">
        <v>143708.13</v>
      </c>
      <c r="I155" s="178">
        <v>143708.13</v>
      </c>
      <c r="J155" s="178" t="s">
        <v>497</v>
      </c>
    </row>
    <row r="156" spans="1:10">
      <c r="A156" s="178">
        <v>740</v>
      </c>
      <c r="B156" s="178" t="s">
        <v>394</v>
      </c>
      <c r="C156" s="178">
        <v>35212358.6</v>
      </c>
      <c r="D156" s="178">
        <v>0</v>
      </c>
      <c r="E156" s="178">
        <v>35212358.6</v>
      </c>
      <c r="F156" s="178">
        <v>0</v>
      </c>
      <c r="G156" s="178">
        <v>0</v>
      </c>
      <c r="H156" s="178">
        <v>27470929.38</v>
      </c>
      <c r="I156" s="178">
        <v>35212358.6</v>
      </c>
      <c r="J156" s="178" t="s">
        <v>497</v>
      </c>
    </row>
    <row r="157" spans="1:10">
      <c r="A157" s="178">
        <v>750</v>
      </c>
      <c r="B157" s="178" t="s">
        <v>395</v>
      </c>
      <c r="C157" s="178">
        <v>285646.08</v>
      </c>
      <c r="D157" s="178">
        <v>0</v>
      </c>
      <c r="E157" s="178">
        <v>285646.08</v>
      </c>
      <c r="F157" s="178">
        <v>285646.08</v>
      </c>
      <c r="G157" s="178">
        <v>285646.08</v>
      </c>
      <c r="H157" s="178">
        <v>7741429.22</v>
      </c>
      <c r="I157" s="178">
        <v>0</v>
      </c>
      <c r="J157" s="178" t="s">
        <v>497</v>
      </c>
    </row>
    <row r="158" spans="1:10">
      <c r="A158" s="178">
        <v>760</v>
      </c>
      <c r="B158" s="178" t="s">
        <v>396</v>
      </c>
      <c r="C158" s="178">
        <v>-8796584.52</v>
      </c>
      <c r="D158" s="178">
        <v>0</v>
      </c>
      <c r="E158" s="178">
        <v>-8796584.52</v>
      </c>
      <c r="F158" s="178">
        <v>0</v>
      </c>
      <c r="G158" s="178">
        <v>0</v>
      </c>
      <c r="H158" s="178">
        <v>-8796584.52</v>
      </c>
      <c r="I158" s="178">
        <v>-8796584.52</v>
      </c>
      <c r="J158" s="178" t="s">
        <v>497</v>
      </c>
    </row>
    <row r="159" spans="1:10">
      <c r="A159" s="178">
        <v>770</v>
      </c>
      <c r="B159" s="178" t="s">
        <v>397</v>
      </c>
      <c r="C159" s="178">
        <v>0</v>
      </c>
      <c r="D159" s="178">
        <v>0</v>
      </c>
      <c r="E159" s="178">
        <v>0</v>
      </c>
      <c r="F159" s="178">
        <v>0</v>
      </c>
      <c r="G159" s="178">
        <v>0</v>
      </c>
      <c r="H159" s="178">
        <v>0</v>
      </c>
      <c r="I159" s="178">
        <v>0</v>
      </c>
      <c r="J159" s="178" t="s">
        <v>497</v>
      </c>
    </row>
    <row r="160" spans="1:10">
      <c r="A160" s="178">
        <v>800</v>
      </c>
      <c r="B160" s="178" t="s">
        <v>398</v>
      </c>
      <c r="C160" s="178">
        <v>54613249.27</v>
      </c>
      <c r="D160" s="178">
        <v>0</v>
      </c>
      <c r="E160" s="178">
        <v>54613249.27</v>
      </c>
      <c r="F160" s="178">
        <v>285646.08</v>
      </c>
      <c r="G160" s="178">
        <v>285646.08</v>
      </c>
      <c r="H160" s="178">
        <v>54327603.19</v>
      </c>
      <c r="I160" s="178">
        <v>54327603.19</v>
      </c>
      <c r="J160" s="178" t="s">
        <v>497</v>
      </c>
    </row>
    <row r="161" spans="1:10">
      <c r="A161" s="178">
        <v>900</v>
      </c>
      <c r="B161" s="178" t="s">
        <v>399</v>
      </c>
      <c r="C161" s="178">
        <v>129244008.09</v>
      </c>
      <c r="D161" s="178">
        <v>0</v>
      </c>
      <c r="E161" s="178">
        <v>129244008.09</v>
      </c>
      <c r="F161" s="178">
        <v>-572873.66</v>
      </c>
      <c r="G161" s="178">
        <v>-572873.66</v>
      </c>
      <c r="H161" s="178">
        <v>129816881.75</v>
      </c>
      <c r="I161" s="178">
        <v>129816881.75</v>
      </c>
      <c r="J161" s="178" t="s">
        <v>497</v>
      </c>
    </row>
    <row r="162" spans="1:10">
      <c r="A162" s="178">
        <v>1000</v>
      </c>
      <c r="B162" s="178" t="s">
        <v>559</v>
      </c>
      <c r="C162" s="178">
        <v>0</v>
      </c>
      <c r="D162" s="178">
        <v>0</v>
      </c>
      <c r="E162" s="178">
        <v>0</v>
      </c>
      <c r="F162" s="178">
        <v>0</v>
      </c>
      <c r="G162" s="178">
        <v>0</v>
      </c>
      <c r="H162" s="178">
        <v>0</v>
      </c>
      <c r="I162" s="178">
        <v>0</v>
      </c>
      <c r="J162" s="178" t="s">
        <v>497</v>
      </c>
    </row>
    <row r="163" spans="1:10">
      <c r="A163" s="178" t="s">
        <v>432</v>
      </c>
      <c r="B163" s="178" t="s">
        <v>402</v>
      </c>
      <c r="C163" s="178" t="s">
        <v>538</v>
      </c>
      <c r="D163" s="178" t="s">
        <v>539</v>
      </c>
      <c r="E163" s="178" t="s">
        <v>540</v>
      </c>
      <c r="F163" s="178" t="s">
        <v>541</v>
      </c>
      <c r="G163" s="178" t="s">
        <v>542</v>
      </c>
      <c r="H163" s="178" t="s">
        <v>543</v>
      </c>
      <c r="I163" s="178" t="s">
        <v>544</v>
      </c>
      <c r="J163" s="178" t="s">
        <v>405</v>
      </c>
    </row>
    <row r="164" spans="1:10">
      <c r="A164" s="178">
        <v>10</v>
      </c>
      <c r="B164" s="178" t="s">
        <v>545</v>
      </c>
      <c r="C164" s="178">
        <v>0</v>
      </c>
      <c r="D164" s="178">
        <v>0</v>
      </c>
      <c r="E164" s="178">
        <v>0</v>
      </c>
      <c r="F164" s="178">
        <v>0</v>
      </c>
      <c r="G164" s="178">
        <v>0</v>
      </c>
      <c r="H164" s="178">
        <v>0</v>
      </c>
      <c r="I164" s="178">
        <v>0</v>
      </c>
      <c r="J164" s="178" t="s">
        <v>497</v>
      </c>
    </row>
    <row r="165" spans="1:10">
      <c r="A165" s="178">
        <v>20</v>
      </c>
      <c r="B165" s="178" t="s">
        <v>359</v>
      </c>
      <c r="C165" s="178">
        <v>399750.53</v>
      </c>
      <c r="D165" s="178">
        <v>0</v>
      </c>
      <c r="E165" s="178">
        <v>399750.53</v>
      </c>
      <c r="F165" s="178">
        <v>143612.35</v>
      </c>
      <c r="G165" s="178">
        <v>143612.35</v>
      </c>
      <c r="H165" s="178">
        <v>256138.18</v>
      </c>
      <c r="I165" s="178">
        <v>256138.18</v>
      </c>
      <c r="J165" s="178" t="s">
        <v>497</v>
      </c>
    </row>
    <row r="166" spans="1:10">
      <c r="A166" s="178">
        <v>30</v>
      </c>
      <c r="B166" s="178" t="s">
        <v>360</v>
      </c>
      <c r="C166" s="178">
        <v>0</v>
      </c>
      <c r="D166" s="178">
        <v>0</v>
      </c>
      <c r="E166" s="178">
        <v>0</v>
      </c>
      <c r="F166" s="178">
        <v>0</v>
      </c>
      <c r="G166" s="178">
        <v>0</v>
      </c>
      <c r="H166" s="178">
        <v>0</v>
      </c>
      <c r="I166" s="178">
        <v>0</v>
      </c>
      <c r="J166" s="178" t="s">
        <v>497</v>
      </c>
    </row>
    <row r="167" spans="1:10">
      <c r="A167" s="178">
        <v>40</v>
      </c>
      <c r="B167" s="178" t="s">
        <v>266</v>
      </c>
      <c r="C167" s="178">
        <v>4221812.94</v>
      </c>
      <c r="D167" s="178">
        <v>0</v>
      </c>
      <c r="E167" s="178">
        <v>4221812.94</v>
      </c>
      <c r="F167" s="178">
        <v>-304691.58</v>
      </c>
      <c r="G167" s="178">
        <v>-304691.58</v>
      </c>
      <c r="H167" s="178">
        <v>4526504.52</v>
      </c>
      <c r="I167" s="178">
        <v>4526504.52</v>
      </c>
      <c r="J167" s="178" t="s">
        <v>497</v>
      </c>
    </row>
    <row r="168" spans="1:10">
      <c r="A168" s="178">
        <v>50</v>
      </c>
      <c r="B168" s="178" t="s">
        <v>267</v>
      </c>
      <c r="C168" s="178">
        <v>679205.38</v>
      </c>
      <c r="D168" s="178">
        <v>0</v>
      </c>
      <c r="E168" s="178">
        <v>679205.38</v>
      </c>
      <c r="F168" s="178">
        <v>-1469382.62</v>
      </c>
      <c r="G168" s="178">
        <v>-1469382.62</v>
      </c>
      <c r="H168" s="178">
        <v>2148588</v>
      </c>
      <c r="I168" s="178">
        <v>2148588</v>
      </c>
      <c r="J168" s="178" t="s">
        <v>497</v>
      </c>
    </row>
    <row r="169" spans="1:10">
      <c r="A169" s="178">
        <v>60</v>
      </c>
      <c r="B169" s="178" t="s">
        <v>268</v>
      </c>
      <c r="C169" s="178">
        <v>0</v>
      </c>
      <c r="D169" s="178">
        <v>0</v>
      </c>
      <c r="E169" s="178">
        <v>0</v>
      </c>
      <c r="F169" s="178">
        <v>0</v>
      </c>
      <c r="G169" s="178">
        <v>0</v>
      </c>
      <c r="H169" s="178">
        <v>0</v>
      </c>
      <c r="I169" s="178">
        <v>0</v>
      </c>
      <c r="J169" s="178" t="s">
        <v>497</v>
      </c>
    </row>
    <row r="170" spans="1:10">
      <c r="A170" s="178">
        <v>70</v>
      </c>
      <c r="B170" s="178" t="s">
        <v>269</v>
      </c>
      <c r="C170" s="178">
        <v>240634.65</v>
      </c>
      <c r="D170" s="178">
        <v>0</v>
      </c>
      <c r="E170" s="178">
        <v>240634.65</v>
      </c>
      <c r="F170" s="178">
        <v>-18325.38</v>
      </c>
      <c r="G170" s="178">
        <v>-18325.38</v>
      </c>
      <c r="H170" s="178">
        <v>258960.03</v>
      </c>
      <c r="I170" s="178">
        <v>258960.03</v>
      </c>
      <c r="J170" s="178" t="s">
        <v>497</v>
      </c>
    </row>
    <row r="171" spans="1:10">
      <c r="A171" s="178">
        <v>80</v>
      </c>
      <c r="B171" s="178" t="s">
        <v>546</v>
      </c>
      <c r="C171" s="178">
        <v>1094608.93</v>
      </c>
      <c r="D171" s="178">
        <v>0</v>
      </c>
      <c r="E171" s="178">
        <v>1094608.93</v>
      </c>
      <c r="F171" s="178">
        <v>350116.48</v>
      </c>
      <c r="G171" s="178">
        <v>350116.48</v>
      </c>
      <c r="H171" s="178">
        <v>744492.45</v>
      </c>
      <c r="I171" s="178">
        <v>744492.45</v>
      </c>
      <c r="J171" s="178" t="s">
        <v>497</v>
      </c>
    </row>
    <row r="172" spans="1:10">
      <c r="A172" s="178">
        <v>100</v>
      </c>
      <c r="B172" s="178" t="s">
        <v>547</v>
      </c>
      <c r="C172" s="178">
        <v>6636012.43</v>
      </c>
      <c r="D172" s="178">
        <v>0</v>
      </c>
      <c r="E172" s="178">
        <v>6636012.43</v>
      </c>
      <c r="F172" s="178">
        <v>-1298670.75</v>
      </c>
      <c r="G172" s="178">
        <v>-1298670.75</v>
      </c>
      <c r="H172" s="178">
        <v>7934683.18</v>
      </c>
      <c r="I172" s="178">
        <v>7934683.18</v>
      </c>
      <c r="J172" s="178" t="s">
        <v>497</v>
      </c>
    </row>
    <row r="173" spans="1:10">
      <c r="A173" s="178">
        <v>110</v>
      </c>
      <c r="B173" s="178" t="s">
        <v>548</v>
      </c>
      <c r="C173" s="178">
        <v>0</v>
      </c>
      <c r="D173" s="178">
        <v>0</v>
      </c>
      <c r="E173" s="178">
        <v>0</v>
      </c>
      <c r="F173" s="178">
        <v>0</v>
      </c>
      <c r="G173" s="178">
        <v>0</v>
      </c>
      <c r="H173" s="178">
        <v>0</v>
      </c>
      <c r="I173" s="178">
        <v>0</v>
      </c>
      <c r="J173" s="178" t="s">
        <v>497</v>
      </c>
    </row>
    <row r="174" spans="1:10">
      <c r="A174" s="178">
        <v>120</v>
      </c>
      <c r="B174" s="178" t="s">
        <v>322</v>
      </c>
      <c r="C174" s="178">
        <v>0</v>
      </c>
      <c r="D174" s="178">
        <v>0</v>
      </c>
      <c r="E174" s="178">
        <v>0</v>
      </c>
      <c r="F174" s="178">
        <v>0</v>
      </c>
      <c r="G174" s="178">
        <v>0</v>
      </c>
      <c r="H174" s="178">
        <v>0</v>
      </c>
      <c r="I174" s="178">
        <v>0</v>
      </c>
      <c r="J174" s="178" t="s">
        <v>497</v>
      </c>
    </row>
    <row r="175" spans="1:10">
      <c r="A175" s="178">
        <v>130</v>
      </c>
      <c r="B175" s="178" t="s">
        <v>282</v>
      </c>
      <c r="C175" s="178">
        <v>0</v>
      </c>
      <c r="D175" s="178">
        <v>0</v>
      </c>
      <c r="E175" s="178">
        <v>0</v>
      </c>
      <c r="F175" s="178">
        <v>0</v>
      </c>
      <c r="G175" s="178">
        <v>0</v>
      </c>
      <c r="H175" s="178">
        <v>0</v>
      </c>
      <c r="I175" s="178">
        <v>0</v>
      </c>
      <c r="J175" s="178" t="s">
        <v>497</v>
      </c>
    </row>
    <row r="176" spans="1:10">
      <c r="A176" s="178">
        <v>140</v>
      </c>
      <c r="B176" s="178" t="s">
        <v>364</v>
      </c>
      <c r="C176" s="178">
        <v>734490.79</v>
      </c>
      <c r="D176" s="178">
        <v>0</v>
      </c>
      <c r="E176" s="178">
        <v>734490.79</v>
      </c>
      <c r="F176" s="178">
        <v>0</v>
      </c>
      <c r="G176" s="178">
        <v>0</v>
      </c>
      <c r="H176" s="178">
        <v>734490.79</v>
      </c>
      <c r="I176" s="178">
        <v>734490.79</v>
      </c>
      <c r="J176" s="178" t="s">
        <v>497</v>
      </c>
    </row>
    <row r="177" spans="1:10">
      <c r="A177" s="178">
        <v>150</v>
      </c>
      <c r="B177" s="178" t="s">
        <v>285</v>
      </c>
      <c r="C177" s="178">
        <v>2492292.51</v>
      </c>
      <c r="D177" s="178">
        <v>0</v>
      </c>
      <c r="E177" s="178">
        <v>2492292.51</v>
      </c>
      <c r="F177" s="178">
        <v>0</v>
      </c>
      <c r="G177" s="178">
        <v>0</v>
      </c>
      <c r="H177" s="178">
        <v>2492292.51</v>
      </c>
      <c r="I177" s="178">
        <v>2492292.51</v>
      </c>
      <c r="J177" s="178" t="s">
        <v>497</v>
      </c>
    </row>
    <row r="178" spans="1:10">
      <c r="A178" s="178">
        <v>160</v>
      </c>
      <c r="B178" s="178" t="s">
        <v>284</v>
      </c>
      <c r="C178" s="178">
        <v>2246853.47</v>
      </c>
      <c r="D178" s="178">
        <v>0</v>
      </c>
      <c r="E178" s="178">
        <v>2246853.47</v>
      </c>
      <c r="F178" s="178">
        <v>0</v>
      </c>
      <c r="G178" s="178">
        <v>0</v>
      </c>
      <c r="H178" s="178">
        <v>2246853.47</v>
      </c>
      <c r="I178" s="178">
        <v>2246853.47</v>
      </c>
      <c r="J178" s="178" t="s">
        <v>497</v>
      </c>
    </row>
    <row r="179" spans="1:10">
      <c r="A179" s="178">
        <v>170</v>
      </c>
      <c r="B179" s="178" t="s">
        <v>283</v>
      </c>
      <c r="C179" s="178">
        <v>22358.77</v>
      </c>
      <c r="D179" s="178">
        <v>0</v>
      </c>
      <c r="E179" s="178">
        <v>22358.77</v>
      </c>
      <c r="F179" s="178">
        <v>12904.63</v>
      </c>
      <c r="G179" s="178">
        <v>12904.63</v>
      </c>
      <c r="H179" s="178">
        <v>9454.14</v>
      </c>
      <c r="I179" s="178">
        <v>9454.14</v>
      </c>
      <c r="J179" s="178" t="s">
        <v>497</v>
      </c>
    </row>
    <row r="180" spans="1:10">
      <c r="A180" s="178">
        <v>180</v>
      </c>
      <c r="B180" s="178" t="s">
        <v>366</v>
      </c>
      <c r="C180" s="178">
        <v>0</v>
      </c>
      <c r="D180" s="178">
        <v>0</v>
      </c>
      <c r="E180" s="178">
        <v>0</v>
      </c>
      <c r="F180" s="178">
        <v>0</v>
      </c>
      <c r="G180" s="178">
        <v>0</v>
      </c>
      <c r="H180" s="178">
        <v>0</v>
      </c>
      <c r="I180" s="178">
        <v>0</v>
      </c>
      <c r="J180" s="178" t="s">
        <v>497</v>
      </c>
    </row>
    <row r="181" spans="1:10">
      <c r="A181" s="178">
        <v>190</v>
      </c>
      <c r="B181" s="178" t="s">
        <v>367</v>
      </c>
      <c r="C181" s="178">
        <v>-4978709.53</v>
      </c>
      <c r="D181" s="178">
        <v>0</v>
      </c>
      <c r="E181" s="178">
        <v>-4978709.53</v>
      </c>
      <c r="F181" s="178">
        <v>-45176.32</v>
      </c>
      <c r="G181" s="178">
        <v>-45176.32</v>
      </c>
      <c r="H181" s="178">
        <v>-4933533.21</v>
      </c>
      <c r="I181" s="178">
        <v>-4933533.21</v>
      </c>
      <c r="J181" s="178" t="s">
        <v>497</v>
      </c>
    </row>
    <row r="182" spans="1:10">
      <c r="A182" s="178">
        <v>200</v>
      </c>
      <c r="B182" s="178" t="s">
        <v>368</v>
      </c>
      <c r="C182" s="178">
        <v>517286.01</v>
      </c>
      <c r="D182" s="178">
        <v>0</v>
      </c>
      <c r="E182" s="178">
        <v>517286.01</v>
      </c>
      <c r="F182" s="178">
        <v>-32271.69</v>
      </c>
      <c r="G182" s="178">
        <v>-32271.69</v>
      </c>
      <c r="H182" s="178">
        <v>549557.7</v>
      </c>
      <c r="I182" s="178">
        <v>549557.7</v>
      </c>
      <c r="J182" s="178" t="s">
        <v>497</v>
      </c>
    </row>
    <row r="183" spans="1:10">
      <c r="A183" s="178">
        <v>210</v>
      </c>
      <c r="B183" s="178" t="s">
        <v>549</v>
      </c>
      <c r="C183" s="178">
        <v>0</v>
      </c>
      <c r="D183" s="178">
        <v>0</v>
      </c>
      <c r="E183" s="178">
        <v>0</v>
      </c>
      <c r="F183" s="178">
        <v>0</v>
      </c>
      <c r="G183" s="178">
        <v>0</v>
      </c>
      <c r="H183" s="178">
        <v>0</v>
      </c>
      <c r="I183" s="178">
        <v>0</v>
      </c>
      <c r="J183" s="178" t="s">
        <v>497</v>
      </c>
    </row>
    <row r="184" spans="1:10">
      <c r="A184" s="178">
        <v>220</v>
      </c>
      <c r="B184" s="178" t="s">
        <v>370</v>
      </c>
      <c r="C184" s="178">
        <v>300486.33</v>
      </c>
      <c r="D184" s="178">
        <v>0</v>
      </c>
      <c r="E184" s="178">
        <v>300486.33</v>
      </c>
      <c r="F184" s="178">
        <v>0</v>
      </c>
      <c r="G184" s="178">
        <v>0</v>
      </c>
      <c r="H184" s="178">
        <v>300486.33</v>
      </c>
      <c r="I184" s="178">
        <v>300486.33</v>
      </c>
      <c r="J184" s="178" t="s">
        <v>497</v>
      </c>
    </row>
    <row r="185" spans="1:10">
      <c r="A185" s="178">
        <v>230</v>
      </c>
      <c r="B185" s="178" t="s">
        <v>371</v>
      </c>
      <c r="C185" s="178">
        <v>53858.17</v>
      </c>
      <c r="D185" s="178">
        <v>0</v>
      </c>
      <c r="E185" s="178">
        <v>53858.17</v>
      </c>
      <c r="F185" s="178">
        <v>0</v>
      </c>
      <c r="G185" s="178">
        <v>0</v>
      </c>
      <c r="H185" s="178">
        <v>53858.17</v>
      </c>
      <c r="I185" s="178">
        <v>53858.17</v>
      </c>
      <c r="J185" s="178" t="s">
        <v>497</v>
      </c>
    </row>
    <row r="186" spans="1:10">
      <c r="A186" s="178">
        <v>240</v>
      </c>
      <c r="B186" s="178" t="s">
        <v>372</v>
      </c>
      <c r="C186" s="178">
        <v>-107389.99</v>
      </c>
      <c r="D186" s="178">
        <v>0</v>
      </c>
      <c r="E186" s="178">
        <v>-107389.99</v>
      </c>
      <c r="F186" s="178">
        <v>0</v>
      </c>
      <c r="G186" s="178">
        <v>0</v>
      </c>
      <c r="H186" s="178">
        <v>-107389.99</v>
      </c>
      <c r="I186" s="178">
        <v>-107389.99</v>
      </c>
      <c r="J186" s="178" t="s">
        <v>497</v>
      </c>
    </row>
    <row r="187" spans="1:10">
      <c r="A187" s="178">
        <v>250</v>
      </c>
      <c r="B187" s="178" t="s">
        <v>373</v>
      </c>
      <c r="C187" s="178">
        <v>246954.51</v>
      </c>
      <c r="D187" s="178">
        <v>0</v>
      </c>
      <c r="E187" s="178">
        <v>246954.51</v>
      </c>
      <c r="F187" s="178">
        <v>0</v>
      </c>
      <c r="G187" s="178">
        <v>0</v>
      </c>
      <c r="H187" s="178">
        <v>246954.51</v>
      </c>
      <c r="I187" s="178">
        <v>246954.51</v>
      </c>
      <c r="J187" s="178" t="s">
        <v>497</v>
      </c>
    </row>
    <row r="188" spans="1:10">
      <c r="A188" s="178">
        <v>260</v>
      </c>
      <c r="B188" s="178" t="s">
        <v>374</v>
      </c>
      <c r="C188" s="178">
        <v>0</v>
      </c>
      <c r="D188" s="178">
        <v>0</v>
      </c>
      <c r="E188" s="178">
        <v>0</v>
      </c>
      <c r="F188" s="178">
        <v>0</v>
      </c>
      <c r="G188" s="178">
        <v>0</v>
      </c>
      <c r="H188" s="178">
        <v>0</v>
      </c>
      <c r="I188" s="178">
        <v>0</v>
      </c>
      <c r="J188" s="178" t="s">
        <v>497</v>
      </c>
    </row>
    <row r="189" spans="1:10">
      <c r="A189" s="178">
        <v>270</v>
      </c>
      <c r="B189" s="178" t="s">
        <v>375</v>
      </c>
      <c r="C189" s="178">
        <v>0</v>
      </c>
      <c r="D189" s="178">
        <v>0</v>
      </c>
      <c r="E189" s="178">
        <v>0</v>
      </c>
      <c r="F189" s="178">
        <v>0</v>
      </c>
      <c r="G189" s="178">
        <v>0</v>
      </c>
      <c r="H189" s="178">
        <v>0</v>
      </c>
      <c r="I189" s="178">
        <v>0</v>
      </c>
      <c r="J189" s="178" t="s">
        <v>497</v>
      </c>
    </row>
    <row r="190" spans="1:10">
      <c r="A190" s="178">
        <v>280</v>
      </c>
      <c r="B190" s="178" t="s">
        <v>550</v>
      </c>
      <c r="C190" s="178">
        <v>0</v>
      </c>
      <c r="D190" s="178">
        <v>0</v>
      </c>
      <c r="E190" s="178">
        <v>0</v>
      </c>
      <c r="F190" s="178">
        <v>0</v>
      </c>
      <c r="G190" s="178">
        <v>0</v>
      </c>
      <c r="H190" s="178">
        <v>0</v>
      </c>
      <c r="I190" s="178">
        <v>0</v>
      </c>
      <c r="J190" s="178" t="s">
        <v>497</v>
      </c>
    </row>
    <row r="191" spans="1:10">
      <c r="A191" s="178">
        <v>400</v>
      </c>
      <c r="B191" s="178" t="s">
        <v>377</v>
      </c>
      <c r="C191" s="178">
        <v>7400252.95</v>
      </c>
      <c r="D191" s="178">
        <v>0</v>
      </c>
      <c r="E191" s="178">
        <v>7400252.95</v>
      </c>
      <c r="F191" s="178">
        <v>-1330942.44</v>
      </c>
      <c r="G191" s="178">
        <v>-1330942.44</v>
      </c>
      <c r="H191" s="178">
        <v>8731195.39</v>
      </c>
      <c r="I191" s="178">
        <v>8731195.39</v>
      </c>
      <c r="J191" s="178" t="s">
        <v>497</v>
      </c>
    </row>
    <row r="192" spans="1:10">
      <c r="A192" s="178">
        <v>410</v>
      </c>
      <c r="B192" s="178" t="s">
        <v>551</v>
      </c>
      <c r="C192" s="178">
        <v>0</v>
      </c>
      <c r="D192" s="178">
        <v>0</v>
      </c>
      <c r="E192" s="178">
        <v>0</v>
      </c>
      <c r="F192" s="178">
        <v>0</v>
      </c>
      <c r="G192" s="178">
        <v>0</v>
      </c>
      <c r="H192" s="178">
        <v>0</v>
      </c>
      <c r="I192" s="178">
        <v>0</v>
      </c>
      <c r="J192" s="178" t="s">
        <v>497</v>
      </c>
    </row>
    <row r="193" spans="1:10">
      <c r="A193" s="178">
        <v>420</v>
      </c>
      <c r="B193" s="178" t="s">
        <v>270</v>
      </c>
      <c r="C193" s="178">
        <v>0</v>
      </c>
      <c r="D193" s="178">
        <v>0</v>
      </c>
      <c r="E193" s="178">
        <v>0</v>
      </c>
      <c r="F193" s="178">
        <v>0</v>
      </c>
      <c r="G193" s="178">
        <v>0</v>
      </c>
      <c r="H193" s="178">
        <v>0</v>
      </c>
      <c r="I193" s="178">
        <v>0</v>
      </c>
      <c r="J193" s="178" t="s">
        <v>497</v>
      </c>
    </row>
    <row r="194" spans="1:10">
      <c r="A194" s="178">
        <v>430</v>
      </c>
      <c r="B194" s="178" t="s">
        <v>379</v>
      </c>
      <c r="C194" s="178">
        <v>6014782.66</v>
      </c>
      <c r="D194" s="178">
        <v>0</v>
      </c>
      <c r="E194" s="178">
        <v>6014782.66</v>
      </c>
      <c r="F194" s="178">
        <v>-336657.77</v>
      </c>
      <c r="G194" s="178">
        <v>-336657.77</v>
      </c>
      <c r="H194" s="178">
        <v>6351440.43</v>
      </c>
      <c r="I194" s="178">
        <v>6351440.43</v>
      </c>
      <c r="J194" s="178" t="s">
        <v>497</v>
      </c>
    </row>
    <row r="195" spans="1:10">
      <c r="A195" s="178">
        <v>440</v>
      </c>
      <c r="B195" s="178" t="s">
        <v>380</v>
      </c>
      <c r="C195" s="178">
        <v>0</v>
      </c>
      <c r="D195" s="178">
        <v>0</v>
      </c>
      <c r="E195" s="178">
        <v>0</v>
      </c>
      <c r="F195" s="178">
        <v>0</v>
      </c>
      <c r="G195" s="178">
        <v>0</v>
      </c>
      <c r="H195" s="178">
        <v>0</v>
      </c>
      <c r="I195" s="178">
        <v>0</v>
      </c>
      <c r="J195" s="178" t="s">
        <v>497</v>
      </c>
    </row>
    <row r="196" spans="1:10">
      <c r="A196" s="178">
        <v>450</v>
      </c>
      <c r="B196" s="178" t="s">
        <v>552</v>
      </c>
      <c r="C196" s="178">
        <v>1869561.09</v>
      </c>
      <c r="D196" s="178">
        <v>0</v>
      </c>
      <c r="E196" s="178">
        <v>1869561.09</v>
      </c>
      <c r="F196" s="178">
        <v>-1165361.18</v>
      </c>
      <c r="G196" s="178">
        <v>-1165361.18</v>
      </c>
      <c r="H196" s="178">
        <v>3034922.27</v>
      </c>
      <c r="I196" s="178">
        <v>3034922.27</v>
      </c>
      <c r="J196" s="178" t="s">
        <v>497</v>
      </c>
    </row>
    <row r="197" spans="1:10">
      <c r="A197" s="178">
        <v>460</v>
      </c>
      <c r="B197" s="178" t="s">
        <v>553</v>
      </c>
      <c r="C197" s="178">
        <v>0</v>
      </c>
      <c r="D197" s="178">
        <v>0</v>
      </c>
      <c r="E197" s="178">
        <v>0</v>
      </c>
      <c r="F197" s="178">
        <v>0</v>
      </c>
      <c r="G197" s="178">
        <v>0</v>
      </c>
      <c r="H197" s="178">
        <v>0</v>
      </c>
      <c r="I197" s="178">
        <v>0</v>
      </c>
      <c r="J197" s="178" t="s">
        <v>497</v>
      </c>
    </row>
    <row r="198" spans="1:10">
      <c r="A198" s="178">
        <v>500</v>
      </c>
      <c r="B198" s="178" t="s">
        <v>383</v>
      </c>
      <c r="C198" s="178">
        <v>7884343.75</v>
      </c>
      <c r="D198" s="178">
        <v>0</v>
      </c>
      <c r="E198" s="178">
        <v>7884343.75</v>
      </c>
      <c r="F198" s="178">
        <v>-1502018.95</v>
      </c>
      <c r="G198" s="178">
        <v>-1502018.95</v>
      </c>
      <c r="H198" s="178">
        <v>9386362.7</v>
      </c>
      <c r="I198" s="178">
        <v>9386362.7</v>
      </c>
      <c r="J198" s="178" t="s">
        <v>497</v>
      </c>
    </row>
    <row r="199" spans="1:10">
      <c r="A199" s="178">
        <v>510</v>
      </c>
      <c r="B199" s="178" t="s">
        <v>554</v>
      </c>
      <c r="C199" s="178">
        <v>0</v>
      </c>
      <c r="D199" s="178">
        <v>0</v>
      </c>
      <c r="E199" s="178">
        <v>0</v>
      </c>
      <c r="F199" s="178">
        <v>0</v>
      </c>
      <c r="G199" s="178">
        <v>0</v>
      </c>
      <c r="H199" s="178">
        <v>0</v>
      </c>
      <c r="I199" s="178">
        <v>0</v>
      </c>
      <c r="J199" s="178" t="s">
        <v>497</v>
      </c>
    </row>
    <row r="200" spans="1:10">
      <c r="A200" s="178">
        <v>520</v>
      </c>
      <c r="B200" s="178" t="s">
        <v>555</v>
      </c>
      <c r="C200" s="178">
        <v>0</v>
      </c>
      <c r="D200" s="178">
        <v>0</v>
      </c>
      <c r="E200" s="178">
        <v>0</v>
      </c>
      <c r="F200" s="178">
        <v>0</v>
      </c>
      <c r="G200" s="178">
        <v>0</v>
      </c>
      <c r="H200" s="178">
        <v>0</v>
      </c>
      <c r="I200" s="178">
        <v>0</v>
      </c>
      <c r="J200" s="178" t="s">
        <v>497</v>
      </c>
    </row>
    <row r="201" spans="1:10">
      <c r="A201" s="178">
        <v>530</v>
      </c>
      <c r="B201" s="178" t="s">
        <v>555</v>
      </c>
      <c r="C201" s="178">
        <v>0</v>
      </c>
      <c r="D201" s="178">
        <v>0</v>
      </c>
      <c r="E201" s="178">
        <v>0</v>
      </c>
      <c r="F201" s="178">
        <v>0</v>
      </c>
      <c r="G201" s="178">
        <v>0</v>
      </c>
      <c r="H201" s="178">
        <v>0</v>
      </c>
      <c r="I201" s="178">
        <v>0</v>
      </c>
      <c r="J201" s="178" t="s">
        <v>497</v>
      </c>
    </row>
    <row r="202" spans="1:10">
      <c r="A202" s="178">
        <v>540</v>
      </c>
      <c r="B202" s="178" t="s">
        <v>387</v>
      </c>
      <c r="C202" s="178">
        <v>0</v>
      </c>
      <c r="D202" s="178">
        <v>0</v>
      </c>
      <c r="E202" s="178">
        <v>0</v>
      </c>
      <c r="F202" s="178">
        <v>0</v>
      </c>
      <c r="G202" s="178">
        <v>0</v>
      </c>
      <c r="H202" s="178">
        <v>0</v>
      </c>
      <c r="I202" s="178">
        <v>0</v>
      </c>
      <c r="J202" s="178" t="s">
        <v>497</v>
      </c>
    </row>
    <row r="203" spans="1:10">
      <c r="A203" s="178">
        <v>600</v>
      </c>
      <c r="B203" s="178" t="s">
        <v>388</v>
      </c>
      <c r="C203" s="178">
        <v>0</v>
      </c>
      <c r="D203" s="178">
        <v>0</v>
      </c>
      <c r="E203" s="178">
        <v>0</v>
      </c>
      <c r="F203" s="178">
        <v>0</v>
      </c>
      <c r="G203" s="178">
        <v>0</v>
      </c>
      <c r="H203" s="178">
        <v>0</v>
      </c>
      <c r="I203" s="178">
        <v>0</v>
      </c>
      <c r="J203" s="178" t="s">
        <v>497</v>
      </c>
    </row>
    <row r="204" spans="1:10">
      <c r="A204" s="178">
        <v>610</v>
      </c>
      <c r="B204" s="178" t="s">
        <v>556</v>
      </c>
      <c r="C204" s="178">
        <v>0</v>
      </c>
      <c r="D204" s="178">
        <v>0</v>
      </c>
      <c r="E204" s="178">
        <v>0</v>
      </c>
      <c r="F204" s="178">
        <v>0</v>
      </c>
      <c r="G204" s="178">
        <v>0</v>
      </c>
      <c r="H204" s="178">
        <v>0</v>
      </c>
      <c r="I204" s="178">
        <v>0</v>
      </c>
      <c r="J204" s="178" t="s">
        <v>497</v>
      </c>
    </row>
    <row r="205" spans="1:10">
      <c r="A205" s="178">
        <v>620</v>
      </c>
      <c r="B205" s="178" t="s">
        <v>390</v>
      </c>
      <c r="C205" s="178">
        <v>0</v>
      </c>
      <c r="D205" s="178">
        <v>0</v>
      </c>
      <c r="E205" s="178">
        <v>0</v>
      </c>
      <c r="F205" s="178">
        <v>0</v>
      </c>
      <c r="G205" s="178">
        <v>0</v>
      </c>
      <c r="H205" s="178">
        <v>0</v>
      </c>
      <c r="I205" s="178">
        <v>0</v>
      </c>
      <c r="J205" s="178" t="s">
        <v>497</v>
      </c>
    </row>
    <row r="206" spans="1:10">
      <c r="A206" s="178">
        <v>700</v>
      </c>
      <c r="B206" s="178" t="s">
        <v>557</v>
      </c>
      <c r="C206" s="178">
        <v>0</v>
      </c>
      <c r="D206" s="178">
        <v>0</v>
      </c>
      <c r="E206" s="178">
        <v>0</v>
      </c>
      <c r="F206" s="178">
        <v>0</v>
      </c>
      <c r="G206" s="178">
        <v>0</v>
      </c>
      <c r="H206" s="178">
        <v>0</v>
      </c>
      <c r="I206" s="178">
        <v>0</v>
      </c>
      <c r="J206" s="178" t="s">
        <v>497</v>
      </c>
    </row>
    <row r="207" spans="1:10">
      <c r="A207" s="178">
        <v>710</v>
      </c>
      <c r="B207" s="178" t="s">
        <v>558</v>
      </c>
      <c r="C207" s="178">
        <v>0</v>
      </c>
      <c r="D207" s="178">
        <v>0</v>
      </c>
      <c r="E207" s="178">
        <v>0</v>
      </c>
      <c r="F207" s="178">
        <v>0</v>
      </c>
      <c r="G207" s="178">
        <v>0</v>
      </c>
      <c r="H207" s="178">
        <v>0</v>
      </c>
      <c r="I207" s="178">
        <v>0</v>
      </c>
      <c r="J207" s="178" t="s">
        <v>497</v>
      </c>
    </row>
    <row r="208" spans="1:10">
      <c r="A208" s="178">
        <v>720</v>
      </c>
      <c r="B208" s="178" t="s">
        <v>276</v>
      </c>
      <c r="C208" s="178">
        <v>8153602.45</v>
      </c>
      <c r="D208" s="178">
        <v>0</v>
      </c>
      <c r="E208" s="178">
        <v>8153602.45</v>
      </c>
      <c r="F208" s="178">
        <v>0</v>
      </c>
      <c r="G208" s="178">
        <v>0</v>
      </c>
      <c r="H208" s="178">
        <v>8153602.45</v>
      </c>
      <c r="I208" s="178">
        <v>8153602.45</v>
      </c>
      <c r="J208" s="178" t="s">
        <v>497</v>
      </c>
    </row>
    <row r="209" spans="1:10">
      <c r="A209" s="178">
        <v>730</v>
      </c>
      <c r="B209" s="178" t="s">
        <v>393</v>
      </c>
      <c r="C209" s="178">
        <v>1275.28</v>
      </c>
      <c r="D209" s="178">
        <v>0</v>
      </c>
      <c r="E209" s="178">
        <v>1275.28</v>
      </c>
      <c r="F209" s="178">
        <v>0</v>
      </c>
      <c r="G209" s="178">
        <v>0</v>
      </c>
      <c r="H209" s="178">
        <v>1275.28</v>
      </c>
      <c r="I209" s="178">
        <v>1275.28</v>
      </c>
      <c r="J209" s="178" t="s">
        <v>497</v>
      </c>
    </row>
    <row r="210" spans="1:10">
      <c r="A210" s="178">
        <v>740</v>
      </c>
      <c r="B210" s="178" t="s">
        <v>394</v>
      </c>
      <c r="C210" s="178">
        <v>-8020589.84</v>
      </c>
      <c r="D210" s="178">
        <v>0</v>
      </c>
      <c r="E210" s="178">
        <v>-8020589.84</v>
      </c>
      <c r="F210" s="178">
        <v>0</v>
      </c>
      <c r="G210" s="178">
        <v>0</v>
      </c>
      <c r="H210" s="178">
        <v>-8800730.64</v>
      </c>
      <c r="I210" s="178">
        <v>-8020589.84</v>
      </c>
      <c r="J210" s="178" t="s">
        <v>497</v>
      </c>
    </row>
    <row r="211" spans="1:10">
      <c r="A211" s="178">
        <v>750</v>
      </c>
      <c r="B211" s="178" t="s">
        <v>395</v>
      </c>
      <c r="C211" s="178">
        <v>171076.51</v>
      </c>
      <c r="D211" s="178">
        <v>0</v>
      </c>
      <c r="E211" s="178">
        <v>171076.51</v>
      </c>
      <c r="F211" s="178">
        <v>171076.51</v>
      </c>
      <c r="G211" s="178">
        <v>171076.51</v>
      </c>
      <c r="H211" s="178">
        <v>780140.8</v>
      </c>
      <c r="I211" s="178">
        <v>0</v>
      </c>
      <c r="J211" s="178" t="s">
        <v>497</v>
      </c>
    </row>
    <row r="212" spans="1:10">
      <c r="A212" s="178">
        <v>760</v>
      </c>
      <c r="B212" s="178" t="s">
        <v>396</v>
      </c>
      <c r="C212" s="178">
        <v>-789455.2</v>
      </c>
      <c r="D212" s="178">
        <v>0</v>
      </c>
      <c r="E212" s="178">
        <v>-789455.2</v>
      </c>
      <c r="F212" s="178">
        <v>0</v>
      </c>
      <c r="G212" s="178">
        <v>0</v>
      </c>
      <c r="H212" s="178">
        <v>-789455.2</v>
      </c>
      <c r="I212" s="178">
        <v>-789455.2</v>
      </c>
      <c r="J212" s="178" t="s">
        <v>497</v>
      </c>
    </row>
    <row r="213" spans="1:10">
      <c r="A213" s="178">
        <v>770</v>
      </c>
      <c r="B213" s="178" t="s">
        <v>397</v>
      </c>
      <c r="C213" s="178">
        <v>0</v>
      </c>
      <c r="D213" s="178">
        <v>0</v>
      </c>
      <c r="E213" s="178">
        <v>0</v>
      </c>
      <c r="F213" s="178">
        <v>0</v>
      </c>
      <c r="G213" s="178">
        <v>0</v>
      </c>
      <c r="H213" s="178">
        <v>0</v>
      </c>
      <c r="I213" s="178">
        <v>0</v>
      </c>
      <c r="J213" s="178" t="s">
        <v>497</v>
      </c>
    </row>
    <row r="214" spans="1:10">
      <c r="A214" s="178">
        <v>800</v>
      </c>
      <c r="B214" s="178" t="s">
        <v>398</v>
      </c>
      <c r="C214" s="178">
        <v>-484090.8</v>
      </c>
      <c r="D214" s="178">
        <v>0</v>
      </c>
      <c r="E214" s="178">
        <v>-484090.8</v>
      </c>
      <c r="F214" s="178">
        <v>171076.51</v>
      </c>
      <c r="G214" s="178">
        <v>171076.51</v>
      </c>
      <c r="H214" s="178">
        <v>-655167.31</v>
      </c>
      <c r="I214" s="178">
        <v>-655167.31</v>
      </c>
      <c r="J214" s="178" t="s">
        <v>497</v>
      </c>
    </row>
    <row r="215" spans="1:10">
      <c r="A215" s="178">
        <v>900</v>
      </c>
      <c r="B215" s="178" t="s">
        <v>399</v>
      </c>
      <c r="C215" s="178">
        <v>7400252.95</v>
      </c>
      <c r="D215" s="178">
        <v>0</v>
      </c>
      <c r="E215" s="178">
        <v>7400252.95</v>
      </c>
      <c r="F215" s="178">
        <v>-1330942.44</v>
      </c>
      <c r="G215" s="178">
        <v>-1330942.44</v>
      </c>
      <c r="H215" s="178">
        <v>8731195.39</v>
      </c>
      <c r="I215" s="178">
        <v>8731195.39</v>
      </c>
      <c r="J215" s="178" t="s">
        <v>497</v>
      </c>
    </row>
    <row r="216" spans="1:10">
      <c r="A216" s="178">
        <v>1000</v>
      </c>
      <c r="B216" s="178" t="s">
        <v>559</v>
      </c>
      <c r="C216" s="178">
        <v>0</v>
      </c>
      <c r="D216" s="178">
        <v>0</v>
      </c>
      <c r="E216" s="178">
        <v>0</v>
      </c>
      <c r="F216" s="178">
        <v>0</v>
      </c>
      <c r="G216" s="178">
        <v>0</v>
      </c>
      <c r="H216" s="178">
        <v>0</v>
      </c>
      <c r="I216" s="178">
        <v>0</v>
      </c>
      <c r="J216" s="178" t="s">
        <v>497</v>
      </c>
    </row>
    <row r="217" spans="1:10">
      <c r="A217" s="178" t="s">
        <v>435</v>
      </c>
      <c r="B217" s="178" t="s">
        <v>402</v>
      </c>
      <c r="C217" s="178" t="s">
        <v>538</v>
      </c>
      <c r="D217" s="178" t="s">
        <v>539</v>
      </c>
      <c r="E217" s="178" t="s">
        <v>540</v>
      </c>
      <c r="F217" s="178" t="s">
        <v>541</v>
      </c>
      <c r="G217" s="178" t="s">
        <v>542</v>
      </c>
      <c r="H217" s="178" t="s">
        <v>543</v>
      </c>
      <c r="I217" s="178" t="s">
        <v>544</v>
      </c>
      <c r="J217" s="178" t="s">
        <v>405</v>
      </c>
    </row>
    <row r="218" spans="1:10">
      <c r="A218" s="178">
        <v>10</v>
      </c>
      <c r="B218" s="178" t="s">
        <v>545</v>
      </c>
      <c r="C218" s="178">
        <v>0</v>
      </c>
      <c r="D218" s="178">
        <v>0</v>
      </c>
      <c r="E218" s="178">
        <v>0</v>
      </c>
      <c r="F218" s="178">
        <v>0</v>
      </c>
      <c r="G218" s="178">
        <v>0</v>
      </c>
      <c r="H218" s="178">
        <v>0</v>
      </c>
      <c r="I218" s="178">
        <v>0</v>
      </c>
      <c r="J218" s="178" t="s">
        <v>497</v>
      </c>
    </row>
    <row r="219" spans="1:10">
      <c r="A219" s="178">
        <v>20</v>
      </c>
      <c r="B219" s="178" t="s">
        <v>359</v>
      </c>
      <c r="C219" s="178">
        <v>286427.8</v>
      </c>
      <c r="D219" s="178">
        <v>0</v>
      </c>
      <c r="E219" s="178">
        <v>286427.8</v>
      </c>
      <c r="F219" s="178">
        <v>24851.63</v>
      </c>
      <c r="G219" s="178">
        <v>24851.63</v>
      </c>
      <c r="H219" s="178">
        <v>261576.17</v>
      </c>
      <c r="I219" s="178">
        <v>261576.17</v>
      </c>
      <c r="J219" s="178" t="s">
        <v>497</v>
      </c>
    </row>
    <row r="220" spans="1:10">
      <c r="A220" s="178">
        <v>30</v>
      </c>
      <c r="B220" s="178" t="s">
        <v>360</v>
      </c>
      <c r="C220" s="178">
        <v>0</v>
      </c>
      <c r="D220" s="178">
        <v>0</v>
      </c>
      <c r="E220" s="178">
        <v>0</v>
      </c>
      <c r="F220" s="178">
        <v>0</v>
      </c>
      <c r="G220" s="178">
        <v>0</v>
      </c>
      <c r="H220" s="178">
        <v>0</v>
      </c>
      <c r="I220" s="178">
        <v>0</v>
      </c>
      <c r="J220" s="178" t="s">
        <v>497</v>
      </c>
    </row>
    <row r="221" spans="1:10">
      <c r="A221" s="178">
        <v>40</v>
      </c>
      <c r="B221" s="178" t="s">
        <v>266</v>
      </c>
      <c r="C221" s="178">
        <v>669782.38</v>
      </c>
      <c r="D221" s="178">
        <v>0</v>
      </c>
      <c r="E221" s="178">
        <v>669782.38</v>
      </c>
      <c r="F221" s="178">
        <v>-164983.36</v>
      </c>
      <c r="G221" s="178">
        <v>-164983.36</v>
      </c>
      <c r="H221" s="178">
        <v>834765.74</v>
      </c>
      <c r="I221" s="178">
        <v>834765.74</v>
      </c>
      <c r="J221" s="178" t="s">
        <v>497</v>
      </c>
    </row>
    <row r="222" spans="1:10">
      <c r="A222" s="178">
        <v>50</v>
      </c>
      <c r="B222" s="178" t="s">
        <v>267</v>
      </c>
      <c r="C222" s="178">
        <v>851891.49</v>
      </c>
      <c r="D222" s="178">
        <v>0</v>
      </c>
      <c r="E222" s="178">
        <v>851891.49</v>
      </c>
      <c r="F222" s="178">
        <v>-0.28</v>
      </c>
      <c r="G222" s="178">
        <v>-0.28</v>
      </c>
      <c r="H222" s="178">
        <v>851891.77</v>
      </c>
      <c r="I222" s="178">
        <v>851891.77</v>
      </c>
      <c r="J222" s="178" t="s">
        <v>497</v>
      </c>
    </row>
    <row r="223" spans="1:10">
      <c r="A223" s="178">
        <v>60</v>
      </c>
      <c r="B223" s="178" t="s">
        <v>268</v>
      </c>
      <c r="C223" s="178">
        <v>0</v>
      </c>
      <c r="D223" s="178">
        <v>0</v>
      </c>
      <c r="E223" s="178">
        <v>0</v>
      </c>
      <c r="F223" s="178">
        <v>0</v>
      </c>
      <c r="G223" s="178">
        <v>0</v>
      </c>
      <c r="H223" s="178">
        <v>0</v>
      </c>
      <c r="I223" s="178">
        <v>0</v>
      </c>
      <c r="J223" s="178" t="s">
        <v>497</v>
      </c>
    </row>
    <row r="224" spans="1:10">
      <c r="A224" s="178">
        <v>70</v>
      </c>
      <c r="B224" s="178" t="s">
        <v>269</v>
      </c>
      <c r="C224" s="178">
        <v>2079052.92</v>
      </c>
      <c r="D224" s="178">
        <v>0</v>
      </c>
      <c r="E224" s="178">
        <v>2079052.92</v>
      </c>
      <c r="F224" s="178">
        <v>19773</v>
      </c>
      <c r="G224" s="178">
        <v>19773</v>
      </c>
      <c r="H224" s="178">
        <v>2059279.92</v>
      </c>
      <c r="I224" s="178">
        <v>2059279.92</v>
      </c>
      <c r="J224" s="178" t="s">
        <v>497</v>
      </c>
    </row>
    <row r="225" spans="1:10">
      <c r="A225" s="178">
        <v>80</v>
      </c>
      <c r="B225" s="178" t="s">
        <v>546</v>
      </c>
      <c r="C225" s="178">
        <v>1304468.6</v>
      </c>
      <c r="D225" s="178">
        <v>0</v>
      </c>
      <c r="E225" s="178">
        <v>1304468.6</v>
      </c>
      <c r="F225" s="178">
        <v>11930.39</v>
      </c>
      <c r="G225" s="178">
        <v>11930.39</v>
      </c>
      <c r="H225" s="178">
        <v>1292538.21</v>
      </c>
      <c r="I225" s="178">
        <v>1292538.21</v>
      </c>
      <c r="J225" s="178" t="s">
        <v>497</v>
      </c>
    </row>
    <row r="226" spans="1:10">
      <c r="A226" s="178">
        <v>100</v>
      </c>
      <c r="B226" s="178" t="s">
        <v>547</v>
      </c>
      <c r="C226" s="178">
        <v>5191623.19</v>
      </c>
      <c r="D226" s="178">
        <v>0</v>
      </c>
      <c r="E226" s="178">
        <v>5191623.19</v>
      </c>
      <c r="F226" s="178">
        <v>-108428.62</v>
      </c>
      <c r="G226" s="178">
        <v>-108428.62</v>
      </c>
      <c r="H226" s="178">
        <v>5300051.81</v>
      </c>
      <c r="I226" s="178">
        <v>5300051.81</v>
      </c>
      <c r="J226" s="178" t="s">
        <v>497</v>
      </c>
    </row>
    <row r="227" spans="1:10">
      <c r="A227" s="178">
        <v>110</v>
      </c>
      <c r="B227" s="178" t="s">
        <v>548</v>
      </c>
      <c r="C227" s="178">
        <v>0</v>
      </c>
      <c r="D227" s="178">
        <v>0</v>
      </c>
      <c r="E227" s="178">
        <v>0</v>
      </c>
      <c r="F227" s="178">
        <v>0</v>
      </c>
      <c r="G227" s="178">
        <v>0</v>
      </c>
      <c r="H227" s="178">
        <v>0</v>
      </c>
      <c r="I227" s="178">
        <v>0</v>
      </c>
      <c r="J227" s="178" t="s">
        <v>497</v>
      </c>
    </row>
    <row r="228" spans="1:10">
      <c r="A228" s="178">
        <v>120</v>
      </c>
      <c r="B228" s="178" t="s">
        <v>322</v>
      </c>
      <c r="C228" s="178">
        <v>0</v>
      </c>
      <c r="D228" s="178">
        <v>0</v>
      </c>
      <c r="E228" s="178">
        <v>0</v>
      </c>
      <c r="F228" s="178">
        <v>0</v>
      </c>
      <c r="G228" s="178">
        <v>0</v>
      </c>
      <c r="H228" s="178">
        <v>0</v>
      </c>
      <c r="I228" s="178">
        <v>0</v>
      </c>
      <c r="J228" s="178" t="s">
        <v>497</v>
      </c>
    </row>
    <row r="229" spans="1:10">
      <c r="A229" s="178">
        <v>130</v>
      </c>
      <c r="B229" s="178" t="s">
        <v>282</v>
      </c>
      <c r="C229" s="178">
        <v>0</v>
      </c>
      <c r="D229" s="178">
        <v>0</v>
      </c>
      <c r="E229" s="178">
        <v>0</v>
      </c>
      <c r="F229" s="178">
        <v>0</v>
      </c>
      <c r="G229" s="178">
        <v>0</v>
      </c>
      <c r="H229" s="178">
        <v>0</v>
      </c>
      <c r="I229" s="178">
        <v>0</v>
      </c>
      <c r="J229" s="178" t="s">
        <v>497</v>
      </c>
    </row>
    <row r="230" spans="1:10">
      <c r="A230" s="178">
        <v>140</v>
      </c>
      <c r="B230" s="178" t="s">
        <v>364</v>
      </c>
      <c r="C230" s="178">
        <v>52937.3</v>
      </c>
      <c r="D230" s="178">
        <v>0</v>
      </c>
      <c r="E230" s="178">
        <v>52937.3</v>
      </c>
      <c r="F230" s="178">
        <v>0</v>
      </c>
      <c r="G230" s="178">
        <v>0</v>
      </c>
      <c r="H230" s="178">
        <v>52937.3</v>
      </c>
      <c r="I230" s="178">
        <v>52937.3</v>
      </c>
      <c r="J230" s="178" t="s">
        <v>497</v>
      </c>
    </row>
    <row r="231" spans="1:10">
      <c r="A231" s="178">
        <v>150</v>
      </c>
      <c r="B231" s="178" t="s">
        <v>285</v>
      </c>
      <c r="C231" s="178">
        <v>0</v>
      </c>
      <c r="D231" s="178">
        <v>0</v>
      </c>
      <c r="E231" s="178">
        <v>0</v>
      </c>
      <c r="F231" s="178">
        <v>0</v>
      </c>
      <c r="G231" s="178">
        <v>0</v>
      </c>
      <c r="H231" s="178">
        <v>0</v>
      </c>
      <c r="I231" s="178">
        <v>0</v>
      </c>
      <c r="J231" s="178" t="s">
        <v>497</v>
      </c>
    </row>
    <row r="232" spans="1:10">
      <c r="A232" s="178">
        <v>160</v>
      </c>
      <c r="B232" s="178" t="s">
        <v>284</v>
      </c>
      <c r="C232" s="178">
        <v>0</v>
      </c>
      <c r="D232" s="178">
        <v>0</v>
      </c>
      <c r="E232" s="178">
        <v>0</v>
      </c>
      <c r="F232" s="178">
        <v>0</v>
      </c>
      <c r="G232" s="178">
        <v>0</v>
      </c>
      <c r="H232" s="178">
        <v>0</v>
      </c>
      <c r="I232" s="178">
        <v>0</v>
      </c>
      <c r="J232" s="178" t="s">
        <v>497</v>
      </c>
    </row>
    <row r="233" spans="1:10">
      <c r="A233" s="178">
        <v>170</v>
      </c>
      <c r="B233" s="178" t="s">
        <v>283</v>
      </c>
      <c r="C233" s="178">
        <v>0</v>
      </c>
      <c r="D233" s="178">
        <v>0</v>
      </c>
      <c r="E233" s="178">
        <v>0</v>
      </c>
      <c r="F233" s="178">
        <v>0</v>
      </c>
      <c r="G233" s="178">
        <v>0</v>
      </c>
      <c r="H233" s="178">
        <v>0</v>
      </c>
      <c r="I233" s="178">
        <v>0</v>
      </c>
      <c r="J233" s="178" t="s">
        <v>497</v>
      </c>
    </row>
    <row r="234" spans="1:10">
      <c r="A234" s="178">
        <v>180</v>
      </c>
      <c r="B234" s="178" t="s">
        <v>366</v>
      </c>
      <c r="C234" s="178">
        <v>0</v>
      </c>
      <c r="D234" s="178">
        <v>0</v>
      </c>
      <c r="E234" s="178">
        <v>0</v>
      </c>
      <c r="F234" s="178">
        <v>0</v>
      </c>
      <c r="G234" s="178">
        <v>0</v>
      </c>
      <c r="H234" s="178">
        <v>0</v>
      </c>
      <c r="I234" s="178">
        <v>0</v>
      </c>
      <c r="J234" s="178" t="s">
        <v>497</v>
      </c>
    </row>
    <row r="235" spans="1:10">
      <c r="A235" s="178">
        <v>190</v>
      </c>
      <c r="B235" s="178" t="s">
        <v>367</v>
      </c>
      <c r="C235" s="178">
        <v>-12263.73</v>
      </c>
      <c r="D235" s="178">
        <v>0</v>
      </c>
      <c r="E235" s="178">
        <v>-12263.73</v>
      </c>
      <c r="F235" s="178">
        <v>0</v>
      </c>
      <c r="G235" s="178">
        <v>0</v>
      </c>
      <c r="H235" s="178">
        <v>-12263.73</v>
      </c>
      <c r="I235" s="178">
        <v>-12263.73</v>
      </c>
      <c r="J235" s="178" t="s">
        <v>497</v>
      </c>
    </row>
    <row r="236" spans="1:10">
      <c r="A236" s="178">
        <v>200</v>
      </c>
      <c r="B236" s="178" t="s">
        <v>368</v>
      </c>
      <c r="C236" s="178">
        <v>40673.57</v>
      </c>
      <c r="D236" s="178">
        <v>0</v>
      </c>
      <c r="E236" s="178">
        <v>40673.57</v>
      </c>
      <c r="F236" s="178">
        <v>0</v>
      </c>
      <c r="G236" s="178">
        <v>0</v>
      </c>
      <c r="H236" s="178">
        <v>40673.57</v>
      </c>
      <c r="I236" s="178">
        <v>40673.57</v>
      </c>
      <c r="J236" s="178" t="s">
        <v>497</v>
      </c>
    </row>
    <row r="237" spans="1:10">
      <c r="A237" s="178">
        <v>210</v>
      </c>
      <c r="B237" s="178" t="s">
        <v>549</v>
      </c>
      <c r="C237" s="178">
        <v>0</v>
      </c>
      <c r="D237" s="178">
        <v>0</v>
      </c>
      <c r="E237" s="178">
        <v>0</v>
      </c>
      <c r="F237" s="178">
        <v>0</v>
      </c>
      <c r="G237" s="178">
        <v>0</v>
      </c>
      <c r="H237" s="178">
        <v>0</v>
      </c>
      <c r="I237" s="178">
        <v>0</v>
      </c>
      <c r="J237" s="178" t="s">
        <v>497</v>
      </c>
    </row>
    <row r="238" spans="1:10">
      <c r="A238" s="178">
        <v>220</v>
      </c>
      <c r="B238" s="178" t="s">
        <v>370</v>
      </c>
      <c r="C238" s="178">
        <v>0</v>
      </c>
      <c r="D238" s="178">
        <v>0</v>
      </c>
      <c r="E238" s="178">
        <v>0</v>
      </c>
      <c r="F238" s="178">
        <v>0</v>
      </c>
      <c r="G238" s="178">
        <v>0</v>
      </c>
      <c r="H238" s="178">
        <v>0</v>
      </c>
      <c r="I238" s="178">
        <v>0</v>
      </c>
      <c r="J238" s="178" t="s">
        <v>497</v>
      </c>
    </row>
    <row r="239" spans="1:10">
      <c r="A239" s="178">
        <v>230</v>
      </c>
      <c r="B239" s="178" t="s">
        <v>371</v>
      </c>
      <c r="C239" s="178">
        <v>0</v>
      </c>
      <c r="D239" s="178">
        <v>0</v>
      </c>
      <c r="E239" s="178">
        <v>0</v>
      </c>
      <c r="F239" s="178">
        <v>0</v>
      </c>
      <c r="G239" s="178">
        <v>0</v>
      </c>
      <c r="H239" s="178">
        <v>0</v>
      </c>
      <c r="I239" s="178">
        <v>0</v>
      </c>
      <c r="J239" s="178" t="s">
        <v>497</v>
      </c>
    </row>
    <row r="240" spans="1:10">
      <c r="A240" s="178">
        <v>240</v>
      </c>
      <c r="B240" s="178" t="s">
        <v>372</v>
      </c>
      <c r="C240" s="178">
        <v>0</v>
      </c>
      <c r="D240" s="178">
        <v>0</v>
      </c>
      <c r="E240" s="178">
        <v>0</v>
      </c>
      <c r="F240" s="178">
        <v>0</v>
      </c>
      <c r="G240" s="178">
        <v>0</v>
      </c>
      <c r="H240" s="178">
        <v>0</v>
      </c>
      <c r="I240" s="178">
        <v>0</v>
      </c>
      <c r="J240" s="178" t="s">
        <v>497</v>
      </c>
    </row>
    <row r="241" spans="1:10">
      <c r="A241" s="178">
        <v>250</v>
      </c>
      <c r="B241" s="178" t="s">
        <v>373</v>
      </c>
      <c r="C241" s="178">
        <v>0</v>
      </c>
      <c r="D241" s="178">
        <v>0</v>
      </c>
      <c r="E241" s="178">
        <v>0</v>
      </c>
      <c r="F241" s="178">
        <v>0</v>
      </c>
      <c r="G241" s="178">
        <v>0</v>
      </c>
      <c r="H241" s="178">
        <v>0</v>
      </c>
      <c r="I241" s="178">
        <v>0</v>
      </c>
      <c r="J241" s="178" t="s">
        <v>497</v>
      </c>
    </row>
    <row r="242" spans="1:10">
      <c r="A242" s="178">
        <v>260</v>
      </c>
      <c r="B242" s="178" t="s">
        <v>374</v>
      </c>
      <c r="C242" s="178">
        <v>0</v>
      </c>
      <c r="D242" s="178">
        <v>0</v>
      </c>
      <c r="E242" s="178">
        <v>0</v>
      </c>
      <c r="F242" s="178">
        <v>0</v>
      </c>
      <c r="G242" s="178">
        <v>0</v>
      </c>
      <c r="H242" s="178">
        <v>0</v>
      </c>
      <c r="I242" s="178">
        <v>0</v>
      </c>
      <c r="J242" s="178" t="s">
        <v>497</v>
      </c>
    </row>
    <row r="243" spans="1:10">
      <c r="A243" s="178">
        <v>270</v>
      </c>
      <c r="B243" s="178" t="s">
        <v>375</v>
      </c>
      <c r="C243" s="178">
        <v>0</v>
      </c>
      <c r="D243" s="178">
        <v>0</v>
      </c>
      <c r="E243" s="178">
        <v>0</v>
      </c>
      <c r="F243" s="178">
        <v>0</v>
      </c>
      <c r="G243" s="178">
        <v>0</v>
      </c>
      <c r="H243" s="178">
        <v>0</v>
      </c>
      <c r="I243" s="178">
        <v>0</v>
      </c>
      <c r="J243" s="178" t="s">
        <v>497</v>
      </c>
    </row>
    <row r="244" spans="1:10">
      <c r="A244" s="178">
        <v>280</v>
      </c>
      <c r="B244" s="178" t="s">
        <v>550</v>
      </c>
      <c r="C244" s="178">
        <v>0</v>
      </c>
      <c r="D244" s="178">
        <v>0</v>
      </c>
      <c r="E244" s="178">
        <v>0</v>
      </c>
      <c r="F244" s="178">
        <v>0</v>
      </c>
      <c r="G244" s="178">
        <v>0</v>
      </c>
      <c r="H244" s="178">
        <v>0</v>
      </c>
      <c r="I244" s="178">
        <v>0</v>
      </c>
      <c r="J244" s="178" t="s">
        <v>497</v>
      </c>
    </row>
    <row r="245" spans="1:10">
      <c r="A245" s="178">
        <v>400</v>
      </c>
      <c r="B245" s="178" t="s">
        <v>377</v>
      </c>
      <c r="C245" s="178">
        <v>5232296.76</v>
      </c>
      <c r="D245" s="178">
        <v>0</v>
      </c>
      <c r="E245" s="178">
        <v>5232296.76</v>
      </c>
      <c r="F245" s="178">
        <v>-108428.62</v>
      </c>
      <c r="G245" s="178">
        <v>-108428.62</v>
      </c>
      <c r="H245" s="178">
        <v>5340725.38</v>
      </c>
      <c r="I245" s="178">
        <v>5340725.38</v>
      </c>
      <c r="J245" s="178" t="s">
        <v>497</v>
      </c>
    </row>
    <row r="246" spans="1:10">
      <c r="A246" s="178">
        <v>410</v>
      </c>
      <c r="B246" s="178" t="s">
        <v>551</v>
      </c>
      <c r="C246" s="178">
        <v>0</v>
      </c>
      <c r="D246" s="178">
        <v>0</v>
      </c>
      <c r="E246" s="178">
        <v>0</v>
      </c>
      <c r="F246" s="178">
        <v>0</v>
      </c>
      <c r="G246" s="178">
        <v>0</v>
      </c>
      <c r="H246" s="178">
        <v>0</v>
      </c>
      <c r="I246" s="178">
        <v>0</v>
      </c>
      <c r="J246" s="178" t="s">
        <v>497</v>
      </c>
    </row>
    <row r="247" spans="1:10">
      <c r="A247" s="178">
        <v>420</v>
      </c>
      <c r="B247" s="178" t="s">
        <v>270</v>
      </c>
      <c r="C247" s="178">
        <v>0</v>
      </c>
      <c r="D247" s="178">
        <v>0</v>
      </c>
      <c r="E247" s="178">
        <v>0</v>
      </c>
      <c r="F247" s="178">
        <v>0</v>
      </c>
      <c r="G247" s="178">
        <v>0</v>
      </c>
      <c r="H247" s="178">
        <v>0</v>
      </c>
      <c r="I247" s="178">
        <v>0</v>
      </c>
      <c r="J247" s="178" t="s">
        <v>497</v>
      </c>
    </row>
    <row r="248" spans="1:10">
      <c r="A248" s="178">
        <v>430</v>
      </c>
      <c r="B248" s="178" t="s">
        <v>379</v>
      </c>
      <c r="C248" s="178">
        <v>6544084.7</v>
      </c>
      <c r="D248" s="178">
        <v>0</v>
      </c>
      <c r="E248" s="178">
        <v>6544084.7</v>
      </c>
      <c r="F248" s="178">
        <v>-57430.95</v>
      </c>
      <c r="G248" s="178">
        <v>-57430.95</v>
      </c>
      <c r="H248" s="178">
        <v>6601515.65</v>
      </c>
      <c r="I248" s="178">
        <v>6601515.65</v>
      </c>
      <c r="J248" s="178" t="s">
        <v>497</v>
      </c>
    </row>
    <row r="249" spans="1:10">
      <c r="A249" s="178">
        <v>440</v>
      </c>
      <c r="B249" s="178" t="s">
        <v>380</v>
      </c>
      <c r="C249" s="178">
        <v>0</v>
      </c>
      <c r="D249" s="178">
        <v>0</v>
      </c>
      <c r="E249" s="178">
        <v>0</v>
      </c>
      <c r="F249" s="178">
        <v>0</v>
      </c>
      <c r="G249" s="178">
        <v>0</v>
      </c>
      <c r="H249" s="178">
        <v>0</v>
      </c>
      <c r="I249" s="178">
        <v>0</v>
      </c>
      <c r="J249" s="178" t="s">
        <v>497</v>
      </c>
    </row>
    <row r="250" spans="1:10">
      <c r="A250" s="178">
        <v>450</v>
      </c>
      <c r="B250" s="178" t="s">
        <v>552</v>
      </c>
      <c r="C250" s="178">
        <v>4391882.71</v>
      </c>
      <c r="D250" s="178">
        <v>0</v>
      </c>
      <c r="E250" s="178">
        <v>4391882.71</v>
      </c>
      <c r="F250" s="178">
        <v>-6596.38</v>
      </c>
      <c r="G250" s="178">
        <v>-6596.38</v>
      </c>
      <c r="H250" s="178">
        <v>4398479.09</v>
      </c>
      <c r="I250" s="178">
        <v>4398479.09</v>
      </c>
      <c r="J250" s="178" t="s">
        <v>497</v>
      </c>
    </row>
    <row r="251" spans="1:10">
      <c r="A251" s="178">
        <v>460</v>
      </c>
      <c r="B251" s="178" t="s">
        <v>553</v>
      </c>
      <c r="C251" s="178">
        <v>0</v>
      </c>
      <c r="D251" s="178">
        <v>0</v>
      </c>
      <c r="E251" s="178">
        <v>0</v>
      </c>
      <c r="F251" s="178">
        <v>0</v>
      </c>
      <c r="G251" s="178">
        <v>0</v>
      </c>
      <c r="H251" s="178">
        <v>0</v>
      </c>
      <c r="I251" s="178">
        <v>0</v>
      </c>
      <c r="J251" s="178" t="s">
        <v>497</v>
      </c>
    </row>
    <row r="252" spans="1:10">
      <c r="A252" s="178">
        <v>500</v>
      </c>
      <c r="B252" s="178" t="s">
        <v>383</v>
      </c>
      <c r="C252" s="178">
        <v>10935967.41</v>
      </c>
      <c r="D252" s="178">
        <v>0</v>
      </c>
      <c r="E252" s="178">
        <v>10935967.41</v>
      </c>
      <c r="F252" s="178">
        <v>-64027.33</v>
      </c>
      <c r="G252" s="178">
        <v>-64027.33</v>
      </c>
      <c r="H252" s="178">
        <v>10999994.74</v>
      </c>
      <c r="I252" s="178">
        <v>10999994.74</v>
      </c>
      <c r="J252" s="178" t="s">
        <v>497</v>
      </c>
    </row>
    <row r="253" spans="1:10">
      <c r="A253" s="178">
        <v>510</v>
      </c>
      <c r="B253" s="178" t="s">
        <v>554</v>
      </c>
      <c r="C253" s="178">
        <v>0</v>
      </c>
      <c r="D253" s="178">
        <v>0</v>
      </c>
      <c r="E253" s="178">
        <v>0</v>
      </c>
      <c r="F253" s="178">
        <v>0</v>
      </c>
      <c r="G253" s="178">
        <v>0</v>
      </c>
      <c r="H253" s="178">
        <v>0</v>
      </c>
      <c r="I253" s="178">
        <v>0</v>
      </c>
      <c r="J253" s="178" t="s">
        <v>497</v>
      </c>
    </row>
    <row r="254" spans="1:10">
      <c r="A254" s="178">
        <v>520</v>
      </c>
      <c r="B254" s="178" t="s">
        <v>555</v>
      </c>
      <c r="C254" s="178">
        <v>0</v>
      </c>
      <c r="D254" s="178">
        <v>0</v>
      </c>
      <c r="E254" s="178">
        <v>0</v>
      </c>
      <c r="F254" s="178">
        <v>0</v>
      </c>
      <c r="G254" s="178">
        <v>0</v>
      </c>
      <c r="H254" s="178">
        <v>0</v>
      </c>
      <c r="I254" s="178">
        <v>0</v>
      </c>
      <c r="J254" s="178" t="s">
        <v>497</v>
      </c>
    </row>
    <row r="255" spans="1:10">
      <c r="A255" s="178">
        <v>530</v>
      </c>
      <c r="B255" s="178" t="s">
        <v>555</v>
      </c>
      <c r="C255" s="178">
        <v>0</v>
      </c>
      <c r="D255" s="178">
        <v>0</v>
      </c>
      <c r="E255" s="178">
        <v>0</v>
      </c>
      <c r="F255" s="178">
        <v>0</v>
      </c>
      <c r="G255" s="178">
        <v>0</v>
      </c>
      <c r="H255" s="178">
        <v>0</v>
      </c>
      <c r="I255" s="178">
        <v>0</v>
      </c>
      <c r="J255" s="178" t="s">
        <v>497</v>
      </c>
    </row>
    <row r="256" spans="1:10">
      <c r="A256" s="178">
        <v>540</v>
      </c>
      <c r="B256" s="178" t="s">
        <v>387</v>
      </c>
      <c r="C256" s="178">
        <v>0</v>
      </c>
      <c r="D256" s="178">
        <v>0</v>
      </c>
      <c r="E256" s="178">
        <v>0</v>
      </c>
      <c r="F256" s="178">
        <v>0</v>
      </c>
      <c r="G256" s="178">
        <v>0</v>
      </c>
      <c r="H256" s="178">
        <v>0</v>
      </c>
      <c r="I256" s="178">
        <v>0</v>
      </c>
      <c r="J256" s="178" t="s">
        <v>497</v>
      </c>
    </row>
    <row r="257" spans="1:10">
      <c r="A257" s="178">
        <v>600</v>
      </c>
      <c r="B257" s="178" t="s">
        <v>388</v>
      </c>
      <c r="C257" s="178">
        <v>0</v>
      </c>
      <c r="D257" s="178">
        <v>0</v>
      </c>
      <c r="E257" s="178">
        <v>0</v>
      </c>
      <c r="F257" s="178">
        <v>0</v>
      </c>
      <c r="G257" s="178">
        <v>0</v>
      </c>
      <c r="H257" s="178">
        <v>0</v>
      </c>
      <c r="I257" s="178">
        <v>0</v>
      </c>
      <c r="J257" s="178" t="s">
        <v>497</v>
      </c>
    </row>
    <row r="258" spans="1:10">
      <c r="A258" s="178">
        <v>610</v>
      </c>
      <c r="B258" s="178" t="s">
        <v>556</v>
      </c>
      <c r="C258" s="178">
        <v>0</v>
      </c>
      <c r="D258" s="178">
        <v>0</v>
      </c>
      <c r="E258" s="178">
        <v>0</v>
      </c>
      <c r="F258" s="178">
        <v>0</v>
      </c>
      <c r="G258" s="178">
        <v>0</v>
      </c>
      <c r="H258" s="178">
        <v>0</v>
      </c>
      <c r="I258" s="178">
        <v>0</v>
      </c>
      <c r="J258" s="178" t="s">
        <v>497</v>
      </c>
    </row>
    <row r="259" spans="1:10">
      <c r="A259" s="178">
        <v>620</v>
      </c>
      <c r="B259" s="178" t="s">
        <v>390</v>
      </c>
      <c r="C259" s="178">
        <v>0</v>
      </c>
      <c r="D259" s="178">
        <v>0</v>
      </c>
      <c r="E259" s="178">
        <v>0</v>
      </c>
      <c r="F259" s="178">
        <v>0</v>
      </c>
      <c r="G259" s="178">
        <v>0</v>
      </c>
      <c r="H259" s="178">
        <v>0</v>
      </c>
      <c r="I259" s="178">
        <v>0</v>
      </c>
      <c r="J259" s="178" t="s">
        <v>497</v>
      </c>
    </row>
    <row r="260" spans="1:10">
      <c r="A260" s="178">
        <v>700</v>
      </c>
      <c r="B260" s="178" t="s">
        <v>557</v>
      </c>
      <c r="C260" s="178">
        <v>0</v>
      </c>
      <c r="D260" s="178">
        <v>0</v>
      </c>
      <c r="E260" s="178">
        <v>0</v>
      </c>
      <c r="F260" s="178">
        <v>0</v>
      </c>
      <c r="G260" s="178">
        <v>0</v>
      </c>
      <c r="H260" s="178">
        <v>0</v>
      </c>
      <c r="I260" s="178">
        <v>0</v>
      </c>
      <c r="J260" s="178" t="s">
        <v>497</v>
      </c>
    </row>
    <row r="261" spans="1:10">
      <c r="A261" s="178">
        <v>710</v>
      </c>
      <c r="B261" s="178" t="s">
        <v>558</v>
      </c>
      <c r="C261" s="178">
        <v>0</v>
      </c>
      <c r="D261" s="178">
        <v>0</v>
      </c>
      <c r="E261" s="178">
        <v>0</v>
      </c>
      <c r="F261" s="178">
        <v>0</v>
      </c>
      <c r="G261" s="178">
        <v>0</v>
      </c>
      <c r="H261" s="178">
        <v>0</v>
      </c>
      <c r="I261" s="178">
        <v>0</v>
      </c>
      <c r="J261" s="178" t="s">
        <v>497</v>
      </c>
    </row>
    <row r="262" spans="1:10">
      <c r="A262" s="178">
        <v>720</v>
      </c>
      <c r="B262" s="178" t="s">
        <v>276</v>
      </c>
      <c r="C262" s="178">
        <v>53000</v>
      </c>
      <c r="D262" s="178">
        <v>0</v>
      </c>
      <c r="E262" s="178">
        <v>53000</v>
      </c>
      <c r="F262" s="178">
        <v>0</v>
      </c>
      <c r="G262" s="178">
        <v>0</v>
      </c>
      <c r="H262" s="178">
        <v>53000</v>
      </c>
      <c r="I262" s="178">
        <v>53000</v>
      </c>
      <c r="J262" s="178" t="s">
        <v>497</v>
      </c>
    </row>
    <row r="263" spans="1:10">
      <c r="A263" s="178">
        <v>730</v>
      </c>
      <c r="B263" s="178" t="s">
        <v>393</v>
      </c>
      <c r="C263" s="178">
        <v>0</v>
      </c>
      <c r="D263" s="178">
        <v>0</v>
      </c>
      <c r="E263" s="178">
        <v>0</v>
      </c>
      <c r="F263" s="178">
        <v>0</v>
      </c>
      <c r="G263" s="178">
        <v>0</v>
      </c>
      <c r="H263" s="178">
        <v>0</v>
      </c>
      <c r="I263" s="178">
        <v>0</v>
      </c>
      <c r="J263" s="178" t="s">
        <v>497</v>
      </c>
    </row>
    <row r="264" spans="1:10">
      <c r="A264" s="178">
        <v>740</v>
      </c>
      <c r="B264" s="178" t="s">
        <v>394</v>
      </c>
      <c r="C264" s="178">
        <v>-2139254.09</v>
      </c>
      <c r="D264" s="178">
        <v>0</v>
      </c>
      <c r="E264" s="178">
        <v>-2139254.09</v>
      </c>
      <c r="F264" s="178">
        <v>0</v>
      </c>
      <c r="G264" s="178">
        <v>0</v>
      </c>
      <c r="H264" s="178">
        <v>-1557688.54</v>
      </c>
      <c r="I264" s="178">
        <v>-2139254.09</v>
      </c>
      <c r="J264" s="178" t="s">
        <v>497</v>
      </c>
    </row>
    <row r="265" spans="1:10">
      <c r="A265" s="178">
        <v>750</v>
      </c>
      <c r="B265" s="178" t="s">
        <v>395</v>
      </c>
      <c r="C265" s="178">
        <v>-44401.29</v>
      </c>
      <c r="D265" s="178">
        <v>0</v>
      </c>
      <c r="E265" s="178">
        <v>-44401.29</v>
      </c>
      <c r="F265" s="178">
        <v>-44401.29</v>
      </c>
      <c r="G265" s="178">
        <v>-44401.29</v>
      </c>
      <c r="H265" s="178">
        <v>-581565.55</v>
      </c>
      <c r="I265" s="178">
        <v>0</v>
      </c>
      <c r="J265" s="178" t="s">
        <v>497</v>
      </c>
    </row>
    <row r="266" spans="1:10">
      <c r="A266" s="178">
        <v>760</v>
      </c>
      <c r="B266" s="178" t="s">
        <v>396</v>
      </c>
      <c r="C266" s="178">
        <v>-3573015.27</v>
      </c>
      <c r="D266" s="178">
        <v>0</v>
      </c>
      <c r="E266" s="178">
        <v>-3573015.27</v>
      </c>
      <c r="F266" s="178">
        <v>0</v>
      </c>
      <c r="G266" s="178">
        <v>0</v>
      </c>
      <c r="H266" s="178">
        <v>-3573015.27</v>
      </c>
      <c r="I266" s="178">
        <v>-3573015.27</v>
      </c>
      <c r="J266" s="178" t="s">
        <v>497</v>
      </c>
    </row>
    <row r="267" spans="1:10">
      <c r="A267" s="178">
        <v>770</v>
      </c>
      <c r="B267" s="178" t="s">
        <v>397</v>
      </c>
      <c r="C267" s="178">
        <v>0</v>
      </c>
      <c r="D267" s="178">
        <v>0</v>
      </c>
      <c r="E267" s="178">
        <v>0</v>
      </c>
      <c r="F267" s="178">
        <v>0</v>
      </c>
      <c r="G267" s="178">
        <v>0</v>
      </c>
      <c r="H267" s="178">
        <v>0</v>
      </c>
      <c r="I267" s="178">
        <v>0</v>
      </c>
      <c r="J267" s="178" t="s">
        <v>497</v>
      </c>
    </row>
    <row r="268" spans="1:10">
      <c r="A268" s="178">
        <v>800</v>
      </c>
      <c r="B268" s="178" t="s">
        <v>398</v>
      </c>
      <c r="C268" s="178">
        <v>-5703670.65</v>
      </c>
      <c r="D268" s="178">
        <v>0</v>
      </c>
      <c r="E268" s="178">
        <v>-5703670.65</v>
      </c>
      <c r="F268" s="178">
        <v>-44401.29</v>
      </c>
      <c r="G268" s="178">
        <v>-44401.29</v>
      </c>
      <c r="H268" s="178">
        <v>-5659269.36</v>
      </c>
      <c r="I268" s="178">
        <v>-5659269.36</v>
      </c>
      <c r="J268" s="178" t="s">
        <v>497</v>
      </c>
    </row>
    <row r="269" spans="1:10">
      <c r="A269" s="178">
        <v>900</v>
      </c>
      <c r="B269" s="178" t="s">
        <v>399</v>
      </c>
      <c r="C269" s="178">
        <v>5232296.76</v>
      </c>
      <c r="D269" s="178">
        <v>0</v>
      </c>
      <c r="E269" s="178">
        <v>5232296.76</v>
      </c>
      <c r="F269" s="178">
        <v>-108428.62</v>
      </c>
      <c r="G269" s="178">
        <v>-108428.62</v>
      </c>
      <c r="H269" s="178">
        <v>5340725.38</v>
      </c>
      <c r="I269" s="178">
        <v>5340725.38</v>
      </c>
      <c r="J269" s="178" t="s">
        <v>497</v>
      </c>
    </row>
    <row r="270" spans="1:10">
      <c r="A270" s="178">
        <v>1000</v>
      </c>
      <c r="B270" s="178" t="s">
        <v>559</v>
      </c>
      <c r="C270" s="178">
        <v>0</v>
      </c>
      <c r="D270" s="178">
        <v>0</v>
      </c>
      <c r="E270" s="178">
        <v>0</v>
      </c>
      <c r="F270" s="178">
        <v>0</v>
      </c>
      <c r="G270" s="178">
        <v>0</v>
      </c>
      <c r="H270" s="178">
        <v>0</v>
      </c>
      <c r="I270" s="178">
        <v>0</v>
      </c>
      <c r="J270" s="178" t="s">
        <v>497</v>
      </c>
    </row>
    <row r="271" spans="1:10">
      <c r="A271" s="178" t="s">
        <v>436</v>
      </c>
      <c r="B271" s="178" t="s">
        <v>402</v>
      </c>
      <c r="C271" s="178" t="s">
        <v>538</v>
      </c>
      <c r="D271" s="178" t="s">
        <v>539</v>
      </c>
      <c r="E271" s="178" t="s">
        <v>540</v>
      </c>
      <c r="F271" s="178" t="s">
        <v>541</v>
      </c>
      <c r="G271" s="178" t="s">
        <v>542</v>
      </c>
      <c r="H271" s="178" t="s">
        <v>543</v>
      </c>
      <c r="I271" s="178" t="s">
        <v>544</v>
      </c>
      <c r="J271" s="178" t="s">
        <v>405</v>
      </c>
    </row>
    <row r="272" spans="1:10">
      <c r="A272" s="178">
        <v>10</v>
      </c>
      <c r="B272" s="178" t="s">
        <v>545</v>
      </c>
      <c r="C272" s="178">
        <v>0</v>
      </c>
      <c r="D272" s="178">
        <v>0</v>
      </c>
      <c r="E272" s="178">
        <v>0</v>
      </c>
      <c r="F272" s="178">
        <v>0</v>
      </c>
      <c r="G272" s="178">
        <v>0</v>
      </c>
      <c r="H272" s="178">
        <v>0</v>
      </c>
      <c r="I272" s="178">
        <v>0</v>
      </c>
      <c r="J272" s="178" t="s">
        <v>497</v>
      </c>
    </row>
    <row r="273" spans="1:10">
      <c r="A273" s="178">
        <v>20</v>
      </c>
      <c r="B273" s="178" t="s">
        <v>359</v>
      </c>
      <c r="C273" s="178">
        <v>121722.04</v>
      </c>
      <c r="D273" s="178">
        <v>0</v>
      </c>
      <c r="E273" s="178">
        <v>121722.04</v>
      </c>
      <c r="F273" s="178">
        <v>54116.15</v>
      </c>
      <c r="G273" s="178">
        <v>54116.15</v>
      </c>
      <c r="H273" s="178">
        <v>67605.89</v>
      </c>
      <c r="I273" s="178">
        <v>67605.89</v>
      </c>
      <c r="J273" s="178" t="s">
        <v>497</v>
      </c>
    </row>
    <row r="274" spans="1:10">
      <c r="A274" s="178">
        <v>30</v>
      </c>
      <c r="B274" s="178" t="s">
        <v>360</v>
      </c>
      <c r="C274" s="178">
        <v>0</v>
      </c>
      <c r="D274" s="178">
        <v>0</v>
      </c>
      <c r="E274" s="178">
        <v>0</v>
      </c>
      <c r="F274" s="178">
        <v>0</v>
      </c>
      <c r="G274" s="178">
        <v>0</v>
      </c>
      <c r="H274" s="178">
        <v>0</v>
      </c>
      <c r="I274" s="178">
        <v>0</v>
      </c>
      <c r="J274" s="178" t="s">
        <v>497</v>
      </c>
    </row>
    <row r="275" spans="1:10">
      <c r="A275" s="178">
        <v>40</v>
      </c>
      <c r="B275" s="178" t="s">
        <v>266</v>
      </c>
      <c r="C275" s="178">
        <v>1335854.58</v>
      </c>
      <c r="D275" s="178">
        <v>0</v>
      </c>
      <c r="E275" s="178">
        <v>1335854.58</v>
      </c>
      <c r="F275" s="178">
        <v>38522.32</v>
      </c>
      <c r="G275" s="178">
        <v>38522.32</v>
      </c>
      <c r="H275" s="178">
        <v>1297332.26</v>
      </c>
      <c r="I275" s="178">
        <v>1297332.26</v>
      </c>
      <c r="J275" s="178" t="s">
        <v>497</v>
      </c>
    </row>
    <row r="276" spans="1:10">
      <c r="A276" s="178">
        <v>50</v>
      </c>
      <c r="B276" s="178" t="s">
        <v>267</v>
      </c>
      <c r="C276" s="178">
        <v>1247491</v>
      </c>
      <c r="D276" s="178">
        <v>0</v>
      </c>
      <c r="E276" s="178">
        <v>1247491</v>
      </c>
      <c r="F276" s="178">
        <v>0</v>
      </c>
      <c r="G276" s="178">
        <v>0</v>
      </c>
      <c r="H276" s="178">
        <v>1247491</v>
      </c>
      <c r="I276" s="178">
        <v>1247491</v>
      </c>
      <c r="J276" s="178" t="s">
        <v>497</v>
      </c>
    </row>
    <row r="277" spans="1:10">
      <c r="A277" s="178">
        <v>60</v>
      </c>
      <c r="B277" s="178" t="s">
        <v>268</v>
      </c>
      <c r="C277" s="178">
        <v>0</v>
      </c>
      <c r="D277" s="178">
        <v>0</v>
      </c>
      <c r="E277" s="178">
        <v>0</v>
      </c>
      <c r="F277" s="178">
        <v>0</v>
      </c>
      <c r="G277" s="178">
        <v>0</v>
      </c>
      <c r="H277" s="178">
        <v>0</v>
      </c>
      <c r="I277" s="178">
        <v>0</v>
      </c>
      <c r="J277" s="178" t="s">
        <v>497</v>
      </c>
    </row>
    <row r="278" spans="1:10">
      <c r="A278" s="178">
        <v>70</v>
      </c>
      <c r="B278" s="178" t="s">
        <v>269</v>
      </c>
      <c r="C278" s="178">
        <v>1884286.02</v>
      </c>
      <c r="D278" s="178">
        <v>0</v>
      </c>
      <c r="E278" s="178">
        <v>1884286.02</v>
      </c>
      <c r="F278" s="178">
        <v>25906.08</v>
      </c>
      <c r="G278" s="178">
        <v>25906.08</v>
      </c>
      <c r="H278" s="178">
        <v>1858379.94</v>
      </c>
      <c r="I278" s="178">
        <v>1858379.94</v>
      </c>
      <c r="J278" s="178" t="s">
        <v>497</v>
      </c>
    </row>
    <row r="279" spans="1:10">
      <c r="A279" s="178">
        <v>80</v>
      </c>
      <c r="B279" s="178" t="s">
        <v>546</v>
      </c>
      <c r="C279" s="178">
        <v>793217.33</v>
      </c>
      <c r="D279" s="178">
        <v>0</v>
      </c>
      <c r="E279" s="178">
        <v>793217.33</v>
      </c>
      <c r="F279" s="178">
        <v>1958.32</v>
      </c>
      <c r="G279" s="178">
        <v>1958.32</v>
      </c>
      <c r="H279" s="178">
        <v>791259.01</v>
      </c>
      <c r="I279" s="178">
        <v>791259.01</v>
      </c>
      <c r="J279" s="178" t="s">
        <v>497</v>
      </c>
    </row>
    <row r="280" spans="1:10">
      <c r="A280" s="178">
        <v>100</v>
      </c>
      <c r="B280" s="178" t="s">
        <v>547</v>
      </c>
      <c r="C280" s="178">
        <v>5382570.97</v>
      </c>
      <c r="D280" s="178">
        <v>0</v>
      </c>
      <c r="E280" s="178">
        <v>5382570.97</v>
      </c>
      <c r="F280" s="178">
        <v>120502.87</v>
      </c>
      <c r="G280" s="178">
        <v>120502.87</v>
      </c>
      <c r="H280" s="178">
        <v>5262068.1</v>
      </c>
      <c r="I280" s="178">
        <v>5262068.1</v>
      </c>
      <c r="J280" s="178" t="s">
        <v>497</v>
      </c>
    </row>
    <row r="281" spans="1:10">
      <c r="A281" s="178">
        <v>110</v>
      </c>
      <c r="B281" s="178" t="s">
        <v>548</v>
      </c>
      <c r="C281" s="178">
        <v>0</v>
      </c>
      <c r="D281" s="178">
        <v>0</v>
      </c>
      <c r="E281" s="178">
        <v>0</v>
      </c>
      <c r="F281" s="178">
        <v>0</v>
      </c>
      <c r="G281" s="178">
        <v>0</v>
      </c>
      <c r="H281" s="178">
        <v>0</v>
      </c>
      <c r="I281" s="178">
        <v>0</v>
      </c>
      <c r="J281" s="178" t="s">
        <v>497</v>
      </c>
    </row>
    <row r="282" spans="1:10">
      <c r="A282" s="178">
        <v>120</v>
      </c>
      <c r="B282" s="178" t="s">
        <v>322</v>
      </c>
      <c r="C282" s="178">
        <v>36825534.53</v>
      </c>
      <c r="D282" s="178">
        <v>0</v>
      </c>
      <c r="E282" s="178">
        <v>36825534.53</v>
      </c>
      <c r="F282" s="178">
        <v>0</v>
      </c>
      <c r="G282" s="178">
        <v>0</v>
      </c>
      <c r="H282" s="178">
        <v>36825534.53</v>
      </c>
      <c r="I282" s="178">
        <v>36825534.53</v>
      </c>
      <c r="J282" s="178" t="s">
        <v>497</v>
      </c>
    </row>
    <row r="283" spans="1:10">
      <c r="A283" s="178">
        <v>130</v>
      </c>
      <c r="B283" s="178" t="s">
        <v>282</v>
      </c>
      <c r="C283" s="178">
        <v>18055911.65</v>
      </c>
      <c r="D283" s="178">
        <v>0</v>
      </c>
      <c r="E283" s="178">
        <v>18055911.65</v>
      </c>
      <c r="F283" s="178">
        <v>0</v>
      </c>
      <c r="G283" s="178">
        <v>0</v>
      </c>
      <c r="H283" s="178">
        <v>18055911.65</v>
      </c>
      <c r="I283" s="178">
        <v>18055911.65</v>
      </c>
      <c r="J283" s="178" t="s">
        <v>497</v>
      </c>
    </row>
    <row r="284" spans="1:10">
      <c r="A284" s="178">
        <v>140</v>
      </c>
      <c r="B284" s="178" t="s">
        <v>364</v>
      </c>
      <c r="C284" s="178">
        <v>0</v>
      </c>
      <c r="D284" s="178">
        <v>0</v>
      </c>
      <c r="E284" s="178">
        <v>0</v>
      </c>
      <c r="F284" s="178">
        <v>0</v>
      </c>
      <c r="G284" s="178">
        <v>0</v>
      </c>
      <c r="H284" s="178">
        <v>0</v>
      </c>
      <c r="I284" s="178">
        <v>0</v>
      </c>
      <c r="J284" s="178" t="s">
        <v>497</v>
      </c>
    </row>
    <row r="285" spans="1:10">
      <c r="A285" s="178">
        <v>150</v>
      </c>
      <c r="B285" s="178" t="s">
        <v>285</v>
      </c>
      <c r="C285" s="178">
        <v>0</v>
      </c>
      <c r="D285" s="178">
        <v>0</v>
      </c>
      <c r="E285" s="178">
        <v>0</v>
      </c>
      <c r="F285" s="178">
        <v>0</v>
      </c>
      <c r="G285" s="178">
        <v>0</v>
      </c>
      <c r="H285" s="178">
        <v>0</v>
      </c>
      <c r="I285" s="178">
        <v>0</v>
      </c>
      <c r="J285" s="178" t="s">
        <v>497</v>
      </c>
    </row>
    <row r="286" spans="1:10">
      <c r="A286" s="178">
        <v>160</v>
      </c>
      <c r="B286" s="178" t="s">
        <v>284</v>
      </c>
      <c r="C286" s="178">
        <v>0</v>
      </c>
      <c r="D286" s="178">
        <v>0</v>
      </c>
      <c r="E286" s="178">
        <v>0</v>
      </c>
      <c r="F286" s="178">
        <v>0</v>
      </c>
      <c r="G286" s="178">
        <v>0</v>
      </c>
      <c r="H286" s="178">
        <v>0</v>
      </c>
      <c r="I286" s="178">
        <v>0</v>
      </c>
      <c r="J286" s="178" t="s">
        <v>497</v>
      </c>
    </row>
    <row r="287" spans="1:10">
      <c r="A287" s="178">
        <v>170</v>
      </c>
      <c r="B287" s="178" t="s">
        <v>283</v>
      </c>
      <c r="C287" s="178">
        <v>0</v>
      </c>
      <c r="D287" s="178">
        <v>0</v>
      </c>
      <c r="E287" s="178">
        <v>0</v>
      </c>
      <c r="F287" s="178">
        <v>0</v>
      </c>
      <c r="G287" s="178">
        <v>0</v>
      </c>
      <c r="H287" s="178">
        <v>0</v>
      </c>
      <c r="I287" s="178">
        <v>0</v>
      </c>
      <c r="J287" s="178" t="s">
        <v>497</v>
      </c>
    </row>
    <row r="288" spans="1:10">
      <c r="A288" s="178">
        <v>180</v>
      </c>
      <c r="B288" s="178" t="s">
        <v>366</v>
      </c>
      <c r="C288" s="178">
        <v>0</v>
      </c>
      <c r="D288" s="178">
        <v>0</v>
      </c>
      <c r="E288" s="178">
        <v>0</v>
      </c>
      <c r="F288" s="178">
        <v>0</v>
      </c>
      <c r="G288" s="178">
        <v>0</v>
      </c>
      <c r="H288" s="178">
        <v>0</v>
      </c>
      <c r="I288" s="178">
        <v>0</v>
      </c>
      <c r="J288" s="178" t="s">
        <v>497</v>
      </c>
    </row>
    <row r="289" spans="1:10">
      <c r="A289" s="178">
        <v>190</v>
      </c>
      <c r="B289" s="178" t="s">
        <v>367</v>
      </c>
      <c r="C289" s="178">
        <v>-12456701.13</v>
      </c>
      <c r="D289" s="178">
        <v>0</v>
      </c>
      <c r="E289" s="178">
        <v>-12456701.13</v>
      </c>
      <c r="F289" s="178">
        <v>-46872.08</v>
      </c>
      <c r="G289" s="178">
        <v>-46872.08</v>
      </c>
      <c r="H289" s="178">
        <v>-12409829.05</v>
      </c>
      <c r="I289" s="178">
        <v>-12409829.05</v>
      </c>
      <c r="J289" s="178" t="s">
        <v>497</v>
      </c>
    </row>
    <row r="290" spans="1:10">
      <c r="A290" s="178">
        <v>200</v>
      </c>
      <c r="B290" s="178" t="s">
        <v>368</v>
      </c>
      <c r="C290" s="178">
        <v>42424745.05</v>
      </c>
      <c r="D290" s="178">
        <v>0</v>
      </c>
      <c r="E290" s="178">
        <v>42424745.05</v>
      </c>
      <c r="F290" s="178">
        <v>-46872.08</v>
      </c>
      <c r="G290" s="178">
        <v>-46872.08</v>
      </c>
      <c r="H290" s="178">
        <v>42471617.13</v>
      </c>
      <c r="I290" s="178">
        <v>42471617.13</v>
      </c>
      <c r="J290" s="178" t="s">
        <v>497</v>
      </c>
    </row>
    <row r="291" spans="1:10">
      <c r="A291" s="178">
        <v>210</v>
      </c>
      <c r="B291" s="178" t="s">
        <v>549</v>
      </c>
      <c r="C291" s="178">
        <v>0</v>
      </c>
      <c r="D291" s="178">
        <v>0</v>
      </c>
      <c r="E291" s="178">
        <v>0</v>
      </c>
      <c r="F291" s="178">
        <v>0</v>
      </c>
      <c r="G291" s="178">
        <v>0</v>
      </c>
      <c r="H291" s="178">
        <v>0</v>
      </c>
      <c r="I291" s="178">
        <v>0</v>
      </c>
      <c r="J291" s="178" t="s">
        <v>497</v>
      </c>
    </row>
    <row r="292" spans="1:10">
      <c r="A292" s="178">
        <v>220</v>
      </c>
      <c r="B292" s="178" t="s">
        <v>370</v>
      </c>
      <c r="C292" s="178">
        <v>0</v>
      </c>
      <c r="D292" s="178">
        <v>0</v>
      </c>
      <c r="E292" s="178">
        <v>0</v>
      </c>
      <c r="F292" s="178">
        <v>0</v>
      </c>
      <c r="G292" s="178">
        <v>0</v>
      </c>
      <c r="H292" s="178">
        <v>0</v>
      </c>
      <c r="I292" s="178">
        <v>0</v>
      </c>
      <c r="J292" s="178" t="s">
        <v>497</v>
      </c>
    </row>
    <row r="293" spans="1:10">
      <c r="A293" s="178">
        <v>230</v>
      </c>
      <c r="B293" s="178" t="s">
        <v>371</v>
      </c>
      <c r="C293" s="178">
        <v>0</v>
      </c>
      <c r="D293" s="178">
        <v>0</v>
      </c>
      <c r="E293" s="178">
        <v>0</v>
      </c>
      <c r="F293" s="178">
        <v>0</v>
      </c>
      <c r="G293" s="178">
        <v>0</v>
      </c>
      <c r="H293" s="178">
        <v>0</v>
      </c>
      <c r="I293" s="178">
        <v>0</v>
      </c>
      <c r="J293" s="178" t="s">
        <v>497</v>
      </c>
    </row>
    <row r="294" spans="1:10">
      <c r="A294" s="178">
        <v>240</v>
      </c>
      <c r="B294" s="178" t="s">
        <v>372</v>
      </c>
      <c r="C294" s="178">
        <v>0</v>
      </c>
      <c r="D294" s="178">
        <v>0</v>
      </c>
      <c r="E294" s="178">
        <v>0</v>
      </c>
      <c r="F294" s="178">
        <v>0</v>
      </c>
      <c r="G294" s="178">
        <v>0</v>
      </c>
      <c r="H294" s="178">
        <v>0</v>
      </c>
      <c r="I294" s="178">
        <v>0</v>
      </c>
      <c r="J294" s="178" t="s">
        <v>497</v>
      </c>
    </row>
    <row r="295" spans="1:10">
      <c r="A295" s="178">
        <v>250</v>
      </c>
      <c r="B295" s="178" t="s">
        <v>373</v>
      </c>
      <c r="C295" s="178">
        <v>0</v>
      </c>
      <c r="D295" s="178">
        <v>0</v>
      </c>
      <c r="E295" s="178">
        <v>0</v>
      </c>
      <c r="F295" s="178">
        <v>0</v>
      </c>
      <c r="G295" s="178">
        <v>0</v>
      </c>
      <c r="H295" s="178">
        <v>0</v>
      </c>
      <c r="I295" s="178">
        <v>0</v>
      </c>
      <c r="J295" s="178" t="s">
        <v>497</v>
      </c>
    </row>
    <row r="296" spans="1:10">
      <c r="A296" s="178">
        <v>260</v>
      </c>
      <c r="B296" s="178" t="s">
        <v>374</v>
      </c>
      <c r="C296" s="178">
        <v>0</v>
      </c>
      <c r="D296" s="178">
        <v>0</v>
      </c>
      <c r="E296" s="178">
        <v>0</v>
      </c>
      <c r="F296" s="178">
        <v>0</v>
      </c>
      <c r="G296" s="178">
        <v>0</v>
      </c>
      <c r="H296" s="178">
        <v>0</v>
      </c>
      <c r="I296" s="178">
        <v>0</v>
      </c>
      <c r="J296" s="178" t="s">
        <v>497</v>
      </c>
    </row>
    <row r="297" spans="1:10">
      <c r="A297" s="178">
        <v>270</v>
      </c>
      <c r="B297" s="178" t="s">
        <v>375</v>
      </c>
      <c r="C297" s="178">
        <v>0</v>
      </c>
      <c r="D297" s="178">
        <v>0</v>
      </c>
      <c r="E297" s="178">
        <v>0</v>
      </c>
      <c r="F297" s="178">
        <v>0</v>
      </c>
      <c r="G297" s="178">
        <v>0</v>
      </c>
      <c r="H297" s="178">
        <v>0</v>
      </c>
      <c r="I297" s="178">
        <v>0</v>
      </c>
      <c r="J297" s="178" t="s">
        <v>497</v>
      </c>
    </row>
    <row r="298" spans="1:10">
      <c r="A298" s="178">
        <v>280</v>
      </c>
      <c r="B298" s="178" t="s">
        <v>550</v>
      </c>
      <c r="C298" s="178">
        <v>0</v>
      </c>
      <c r="D298" s="178">
        <v>0</v>
      </c>
      <c r="E298" s="178">
        <v>0</v>
      </c>
      <c r="F298" s="178">
        <v>0</v>
      </c>
      <c r="G298" s="178">
        <v>0</v>
      </c>
      <c r="H298" s="178">
        <v>0</v>
      </c>
      <c r="I298" s="178">
        <v>0</v>
      </c>
      <c r="J298" s="178" t="s">
        <v>497</v>
      </c>
    </row>
    <row r="299" spans="1:10">
      <c r="A299" s="178">
        <v>400</v>
      </c>
      <c r="B299" s="178" t="s">
        <v>377</v>
      </c>
      <c r="C299" s="178">
        <v>47807316.02</v>
      </c>
      <c r="D299" s="178">
        <v>0</v>
      </c>
      <c r="E299" s="178">
        <v>47807316.02</v>
      </c>
      <c r="F299" s="178">
        <v>73630.79</v>
      </c>
      <c r="G299" s="178">
        <v>73630.79</v>
      </c>
      <c r="H299" s="178">
        <v>47733685.23</v>
      </c>
      <c r="I299" s="178">
        <v>47733685.23</v>
      </c>
      <c r="J299" s="178" t="s">
        <v>497</v>
      </c>
    </row>
    <row r="300" spans="1:10">
      <c r="A300" s="178">
        <v>410</v>
      </c>
      <c r="B300" s="178" t="s">
        <v>551</v>
      </c>
      <c r="C300" s="178">
        <v>0</v>
      </c>
      <c r="D300" s="178">
        <v>0</v>
      </c>
      <c r="E300" s="178">
        <v>0</v>
      </c>
      <c r="F300" s="178">
        <v>0</v>
      </c>
      <c r="G300" s="178">
        <v>0</v>
      </c>
      <c r="H300" s="178">
        <v>0</v>
      </c>
      <c r="I300" s="178">
        <v>0</v>
      </c>
      <c r="J300" s="178" t="s">
        <v>497</v>
      </c>
    </row>
    <row r="301" spans="1:10">
      <c r="A301" s="178">
        <v>420</v>
      </c>
      <c r="B301" s="178" t="s">
        <v>270</v>
      </c>
      <c r="C301" s="178">
        <v>0</v>
      </c>
      <c r="D301" s="178">
        <v>0</v>
      </c>
      <c r="E301" s="178">
        <v>0</v>
      </c>
      <c r="F301" s="178">
        <v>0</v>
      </c>
      <c r="G301" s="178">
        <v>0</v>
      </c>
      <c r="H301" s="178">
        <v>0</v>
      </c>
      <c r="I301" s="178">
        <v>0</v>
      </c>
      <c r="J301" s="178" t="s">
        <v>497</v>
      </c>
    </row>
    <row r="302" spans="1:10">
      <c r="A302" s="178">
        <v>430</v>
      </c>
      <c r="B302" s="178" t="s">
        <v>379</v>
      </c>
      <c r="C302" s="178">
        <v>4762920.66</v>
      </c>
      <c r="D302" s="178">
        <v>0</v>
      </c>
      <c r="E302" s="178">
        <v>4762920.66</v>
      </c>
      <c r="F302" s="178">
        <v>40533.78</v>
      </c>
      <c r="G302" s="178">
        <v>40533.78</v>
      </c>
      <c r="H302" s="178">
        <v>4722386.88</v>
      </c>
      <c r="I302" s="178">
        <v>4722386.88</v>
      </c>
      <c r="J302" s="178" t="s">
        <v>497</v>
      </c>
    </row>
    <row r="303" spans="1:10">
      <c r="A303" s="178">
        <v>440</v>
      </c>
      <c r="B303" s="178" t="s">
        <v>380</v>
      </c>
      <c r="C303" s="178">
        <v>0</v>
      </c>
      <c r="D303" s="178">
        <v>0</v>
      </c>
      <c r="E303" s="178">
        <v>0</v>
      </c>
      <c r="F303" s="178">
        <v>0</v>
      </c>
      <c r="G303" s="178">
        <v>0</v>
      </c>
      <c r="H303" s="178">
        <v>0</v>
      </c>
      <c r="I303" s="178">
        <v>0</v>
      </c>
      <c r="J303" s="178" t="s">
        <v>497</v>
      </c>
    </row>
    <row r="304" spans="1:10">
      <c r="A304" s="178">
        <v>450</v>
      </c>
      <c r="B304" s="178" t="s">
        <v>552</v>
      </c>
      <c r="C304" s="178">
        <v>1885436.51</v>
      </c>
      <c r="D304" s="178">
        <v>0</v>
      </c>
      <c r="E304" s="178">
        <v>1885436.51</v>
      </c>
      <c r="F304" s="178">
        <v>16323.72</v>
      </c>
      <c r="G304" s="178">
        <v>16323.72</v>
      </c>
      <c r="H304" s="178">
        <v>1869112.79</v>
      </c>
      <c r="I304" s="178">
        <v>1869112.79</v>
      </c>
      <c r="J304" s="178" t="s">
        <v>497</v>
      </c>
    </row>
    <row r="305" spans="1:10">
      <c r="A305" s="178">
        <v>460</v>
      </c>
      <c r="B305" s="178" t="s">
        <v>553</v>
      </c>
      <c r="C305" s="178">
        <v>0</v>
      </c>
      <c r="D305" s="178">
        <v>0</v>
      </c>
      <c r="E305" s="178">
        <v>0</v>
      </c>
      <c r="F305" s="178">
        <v>0</v>
      </c>
      <c r="G305" s="178">
        <v>0</v>
      </c>
      <c r="H305" s="178">
        <v>0</v>
      </c>
      <c r="I305" s="178">
        <v>0</v>
      </c>
      <c r="J305" s="178" t="s">
        <v>497</v>
      </c>
    </row>
    <row r="306" spans="1:10">
      <c r="A306" s="178">
        <v>500</v>
      </c>
      <c r="B306" s="178" t="s">
        <v>383</v>
      </c>
      <c r="C306" s="178">
        <v>6648357.17</v>
      </c>
      <c r="D306" s="178">
        <v>0</v>
      </c>
      <c r="E306" s="178">
        <v>6648357.17</v>
      </c>
      <c r="F306" s="178">
        <v>56857.5</v>
      </c>
      <c r="G306" s="178">
        <v>56857.5</v>
      </c>
      <c r="H306" s="178">
        <v>6591499.67</v>
      </c>
      <c r="I306" s="178">
        <v>6591499.67</v>
      </c>
      <c r="J306" s="178" t="s">
        <v>497</v>
      </c>
    </row>
    <row r="307" spans="1:10">
      <c r="A307" s="178">
        <v>510</v>
      </c>
      <c r="B307" s="178" t="s">
        <v>554</v>
      </c>
      <c r="C307" s="178">
        <v>0</v>
      </c>
      <c r="D307" s="178">
        <v>0</v>
      </c>
      <c r="E307" s="178">
        <v>0</v>
      </c>
      <c r="F307" s="178">
        <v>0</v>
      </c>
      <c r="G307" s="178">
        <v>0</v>
      </c>
      <c r="H307" s="178">
        <v>0</v>
      </c>
      <c r="I307" s="178">
        <v>0</v>
      </c>
      <c r="J307" s="178" t="s">
        <v>497</v>
      </c>
    </row>
    <row r="308" spans="1:10">
      <c r="A308" s="178">
        <v>520</v>
      </c>
      <c r="B308" s="178" t="s">
        <v>555</v>
      </c>
      <c r="C308" s="178">
        <v>0</v>
      </c>
      <c r="D308" s="178">
        <v>0</v>
      </c>
      <c r="E308" s="178">
        <v>0</v>
      </c>
      <c r="F308" s="178">
        <v>0</v>
      </c>
      <c r="G308" s="178">
        <v>0</v>
      </c>
      <c r="H308" s="178">
        <v>0</v>
      </c>
      <c r="I308" s="178">
        <v>0</v>
      </c>
      <c r="J308" s="178" t="s">
        <v>497</v>
      </c>
    </row>
    <row r="309" spans="1:10">
      <c r="A309" s="178">
        <v>530</v>
      </c>
      <c r="B309" s="178" t="s">
        <v>555</v>
      </c>
      <c r="C309" s="178">
        <v>0</v>
      </c>
      <c r="D309" s="178">
        <v>0</v>
      </c>
      <c r="E309" s="178">
        <v>0</v>
      </c>
      <c r="F309" s="178">
        <v>0</v>
      </c>
      <c r="G309" s="178">
        <v>0</v>
      </c>
      <c r="H309" s="178">
        <v>0</v>
      </c>
      <c r="I309" s="178">
        <v>0</v>
      </c>
      <c r="J309" s="178" t="s">
        <v>497</v>
      </c>
    </row>
    <row r="310" spans="1:10">
      <c r="A310" s="178">
        <v>540</v>
      </c>
      <c r="B310" s="178" t="s">
        <v>387</v>
      </c>
      <c r="C310" s="178">
        <v>0</v>
      </c>
      <c r="D310" s="178">
        <v>0</v>
      </c>
      <c r="E310" s="178">
        <v>0</v>
      </c>
      <c r="F310" s="178">
        <v>0</v>
      </c>
      <c r="G310" s="178">
        <v>0</v>
      </c>
      <c r="H310" s="178">
        <v>0</v>
      </c>
      <c r="I310" s="178">
        <v>0</v>
      </c>
      <c r="J310" s="178" t="s">
        <v>497</v>
      </c>
    </row>
    <row r="311" spans="1:10">
      <c r="A311" s="178">
        <v>600</v>
      </c>
      <c r="B311" s="178" t="s">
        <v>388</v>
      </c>
      <c r="C311" s="178">
        <v>0</v>
      </c>
      <c r="D311" s="178">
        <v>0</v>
      </c>
      <c r="E311" s="178">
        <v>0</v>
      </c>
      <c r="F311" s="178">
        <v>0</v>
      </c>
      <c r="G311" s="178">
        <v>0</v>
      </c>
      <c r="H311" s="178">
        <v>0</v>
      </c>
      <c r="I311" s="178">
        <v>0</v>
      </c>
      <c r="J311" s="178" t="s">
        <v>497</v>
      </c>
    </row>
    <row r="312" spans="1:10">
      <c r="A312" s="178">
        <v>610</v>
      </c>
      <c r="B312" s="178" t="s">
        <v>556</v>
      </c>
      <c r="C312" s="178">
        <v>0</v>
      </c>
      <c r="D312" s="178">
        <v>0</v>
      </c>
      <c r="E312" s="178">
        <v>0</v>
      </c>
      <c r="F312" s="178">
        <v>0</v>
      </c>
      <c r="G312" s="178">
        <v>0</v>
      </c>
      <c r="H312" s="178">
        <v>0</v>
      </c>
      <c r="I312" s="178">
        <v>0</v>
      </c>
      <c r="J312" s="178" t="s">
        <v>497</v>
      </c>
    </row>
    <row r="313" spans="1:10">
      <c r="A313" s="178">
        <v>620</v>
      </c>
      <c r="B313" s="178" t="s">
        <v>390</v>
      </c>
      <c r="C313" s="178">
        <v>0</v>
      </c>
      <c r="D313" s="178">
        <v>0</v>
      </c>
      <c r="E313" s="178">
        <v>0</v>
      </c>
      <c r="F313" s="178">
        <v>0</v>
      </c>
      <c r="G313" s="178">
        <v>0</v>
      </c>
      <c r="H313" s="178">
        <v>0</v>
      </c>
      <c r="I313" s="178">
        <v>0</v>
      </c>
      <c r="J313" s="178" t="s">
        <v>497</v>
      </c>
    </row>
    <row r="314" spans="1:10">
      <c r="A314" s="178">
        <v>700</v>
      </c>
      <c r="B314" s="178" t="s">
        <v>557</v>
      </c>
      <c r="C314" s="178">
        <v>0</v>
      </c>
      <c r="D314" s="178">
        <v>0</v>
      </c>
      <c r="E314" s="178">
        <v>0</v>
      </c>
      <c r="F314" s="178">
        <v>0</v>
      </c>
      <c r="G314" s="178">
        <v>0</v>
      </c>
      <c r="H314" s="178">
        <v>0</v>
      </c>
      <c r="I314" s="178">
        <v>0</v>
      </c>
      <c r="J314" s="178" t="s">
        <v>497</v>
      </c>
    </row>
    <row r="315" spans="1:10">
      <c r="A315" s="178">
        <v>710</v>
      </c>
      <c r="B315" s="178" t="s">
        <v>558</v>
      </c>
      <c r="C315" s="178">
        <v>0</v>
      </c>
      <c r="D315" s="178">
        <v>0</v>
      </c>
      <c r="E315" s="178">
        <v>0</v>
      </c>
      <c r="F315" s="178">
        <v>0</v>
      </c>
      <c r="G315" s="178">
        <v>0</v>
      </c>
      <c r="H315" s="178">
        <v>0</v>
      </c>
      <c r="I315" s="178">
        <v>0</v>
      </c>
      <c r="J315" s="178" t="s">
        <v>497</v>
      </c>
    </row>
    <row r="316" spans="1:10">
      <c r="A316" s="178">
        <v>720</v>
      </c>
      <c r="B316" s="178" t="s">
        <v>276</v>
      </c>
      <c r="C316" s="178">
        <v>13466589.05</v>
      </c>
      <c r="D316" s="178">
        <v>0</v>
      </c>
      <c r="E316" s="178">
        <v>13466589.05</v>
      </c>
      <c r="F316" s="178">
        <v>0</v>
      </c>
      <c r="G316" s="178">
        <v>0</v>
      </c>
      <c r="H316" s="178">
        <v>13466589.05</v>
      </c>
      <c r="I316" s="178">
        <v>13466589.05</v>
      </c>
      <c r="J316" s="178" t="s">
        <v>497</v>
      </c>
    </row>
    <row r="317" spans="1:10">
      <c r="A317" s="178">
        <v>730</v>
      </c>
      <c r="B317" s="178" t="s">
        <v>393</v>
      </c>
      <c r="C317" s="178">
        <v>68238.39</v>
      </c>
      <c r="D317" s="178">
        <v>0</v>
      </c>
      <c r="E317" s="178">
        <v>68238.39</v>
      </c>
      <c r="F317" s="178">
        <v>0</v>
      </c>
      <c r="G317" s="178">
        <v>0</v>
      </c>
      <c r="H317" s="178">
        <v>68238.39</v>
      </c>
      <c r="I317" s="178">
        <v>68238.39</v>
      </c>
      <c r="J317" s="178" t="s">
        <v>497</v>
      </c>
    </row>
    <row r="318" spans="1:10">
      <c r="A318" s="178">
        <v>740</v>
      </c>
      <c r="B318" s="178" t="s">
        <v>394</v>
      </c>
      <c r="C318" s="178">
        <v>21957664.48</v>
      </c>
      <c r="D318" s="178">
        <v>0</v>
      </c>
      <c r="E318" s="178">
        <v>21957664.48</v>
      </c>
      <c r="F318" s="178">
        <v>0</v>
      </c>
      <c r="G318" s="178">
        <v>0</v>
      </c>
      <c r="H318" s="178">
        <v>21846900.22</v>
      </c>
      <c r="I318" s="178">
        <v>21957664.48</v>
      </c>
      <c r="J318" s="178" t="s">
        <v>497</v>
      </c>
    </row>
    <row r="319" spans="1:10">
      <c r="A319" s="178">
        <v>750</v>
      </c>
      <c r="B319" s="178" t="s">
        <v>395</v>
      </c>
      <c r="C319" s="178">
        <v>16773.29</v>
      </c>
      <c r="D319" s="178">
        <v>0</v>
      </c>
      <c r="E319" s="178">
        <v>16773.29</v>
      </c>
      <c r="F319" s="178">
        <v>16773.29</v>
      </c>
      <c r="G319" s="178">
        <v>16773.29</v>
      </c>
      <c r="H319" s="178">
        <v>110764.26</v>
      </c>
      <c r="I319" s="178">
        <v>0</v>
      </c>
      <c r="J319" s="178" t="s">
        <v>497</v>
      </c>
    </row>
    <row r="320" spans="1:10">
      <c r="A320" s="178">
        <v>760</v>
      </c>
      <c r="B320" s="178" t="s">
        <v>396</v>
      </c>
      <c r="C320" s="178">
        <v>5649693.64</v>
      </c>
      <c r="D320" s="178">
        <v>0</v>
      </c>
      <c r="E320" s="178">
        <v>5649693.64</v>
      </c>
      <c r="F320" s="178">
        <v>0</v>
      </c>
      <c r="G320" s="178">
        <v>0</v>
      </c>
      <c r="H320" s="178">
        <v>5649693.64</v>
      </c>
      <c r="I320" s="178">
        <v>5649693.64</v>
      </c>
      <c r="J320" s="178" t="s">
        <v>497</v>
      </c>
    </row>
    <row r="321" spans="1:10">
      <c r="A321" s="178">
        <v>770</v>
      </c>
      <c r="B321" s="178" t="s">
        <v>397</v>
      </c>
      <c r="C321" s="178">
        <v>0</v>
      </c>
      <c r="D321" s="178">
        <v>0</v>
      </c>
      <c r="E321" s="178">
        <v>0</v>
      </c>
      <c r="F321" s="178">
        <v>0</v>
      </c>
      <c r="G321" s="178">
        <v>0</v>
      </c>
      <c r="H321" s="178">
        <v>0</v>
      </c>
      <c r="I321" s="178">
        <v>0</v>
      </c>
      <c r="J321" s="178" t="s">
        <v>497</v>
      </c>
    </row>
    <row r="322" spans="1:10">
      <c r="A322" s="178">
        <v>800</v>
      </c>
      <c r="B322" s="178" t="s">
        <v>398</v>
      </c>
      <c r="C322" s="178">
        <v>41158958.85</v>
      </c>
      <c r="D322" s="178">
        <v>0</v>
      </c>
      <c r="E322" s="178">
        <v>41158958.85</v>
      </c>
      <c r="F322" s="178">
        <v>16773.29</v>
      </c>
      <c r="G322" s="178">
        <v>16773.29</v>
      </c>
      <c r="H322" s="178">
        <v>41142185.56</v>
      </c>
      <c r="I322" s="178">
        <v>41142185.56</v>
      </c>
      <c r="J322" s="178" t="s">
        <v>497</v>
      </c>
    </row>
    <row r="323" spans="1:10">
      <c r="A323" s="178">
        <v>900</v>
      </c>
      <c r="B323" s="178" t="s">
        <v>399</v>
      </c>
      <c r="C323" s="178">
        <v>47807316.02</v>
      </c>
      <c r="D323" s="178">
        <v>0</v>
      </c>
      <c r="E323" s="178">
        <v>47807316.02</v>
      </c>
      <c r="F323" s="178">
        <v>73630.79</v>
      </c>
      <c r="G323" s="178">
        <v>73630.79</v>
      </c>
      <c r="H323" s="178">
        <v>47733685.23</v>
      </c>
      <c r="I323" s="178">
        <v>47733685.23</v>
      </c>
      <c r="J323" s="178" t="s">
        <v>497</v>
      </c>
    </row>
    <row r="324" spans="1:10">
      <c r="A324" s="178">
        <v>1000</v>
      </c>
      <c r="B324" s="178" t="s">
        <v>559</v>
      </c>
      <c r="C324" s="178">
        <v>0</v>
      </c>
      <c r="D324" s="178">
        <v>0</v>
      </c>
      <c r="E324" s="178">
        <v>0</v>
      </c>
      <c r="F324" s="178">
        <v>0</v>
      </c>
      <c r="G324" s="178">
        <v>0</v>
      </c>
      <c r="H324" s="178">
        <v>0</v>
      </c>
      <c r="I324" s="178">
        <v>0</v>
      </c>
      <c r="J324" s="178" t="s">
        <v>497</v>
      </c>
    </row>
    <row r="325" spans="1:10">
      <c r="A325" s="178" t="s">
        <v>438</v>
      </c>
      <c r="B325" s="178" t="s">
        <v>402</v>
      </c>
      <c r="C325" s="178" t="s">
        <v>538</v>
      </c>
      <c r="D325" s="178" t="s">
        <v>539</v>
      </c>
      <c r="E325" s="178" t="s">
        <v>540</v>
      </c>
      <c r="F325" s="178" t="s">
        <v>541</v>
      </c>
      <c r="G325" s="178" t="s">
        <v>542</v>
      </c>
      <c r="H325" s="178" t="s">
        <v>543</v>
      </c>
      <c r="I325" s="178" t="s">
        <v>544</v>
      </c>
      <c r="J325" s="178" t="s">
        <v>405</v>
      </c>
    </row>
    <row r="326" spans="1:10">
      <c r="A326" s="178">
        <v>10</v>
      </c>
      <c r="B326" s="178" t="s">
        <v>545</v>
      </c>
      <c r="C326" s="178">
        <v>0</v>
      </c>
      <c r="D326" s="178">
        <v>0</v>
      </c>
      <c r="E326" s="178">
        <v>0</v>
      </c>
      <c r="F326" s="178">
        <v>0</v>
      </c>
      <c r="G326" s="178">
        <v>0</v>
      </c>
      <c r="H326" s="178">
        <v>0</v>
      </c>
      <c r="I326" s="178">
        <v>0</v>
      </c>
      <c r="J326" s="178" t="s">
        <v>497</v>
      </c>
    </row>
    <row r="327" spans="1:10">
      <c r="A327" s="178">
        <v>20</v>
      </c>
      <c r="B327" s="178" t="s">
        <v>359</v>
      </c>
      <c r="C327" s="178">
        <v>16062.25</v>
      </c>
      <c r="D327" s="178">
        <v>0</v>
      </c>
      <c r="E327" s="178">
        <v>16062.25</v>
      </c>
      <c r="F327" s="178">
        <v>8932</v>
      </c>
      <c r="G327" s="178">
        <v>8932</v>
      </c>
      <c r="H327" s="178">
        <v>7130.25</v>
      </c>
      <c r="I327" s="178">
        <v>7130.25</v>
      </c>
      <c r="J327" s="178" t="s">
        <v>497</v>
      </c>
    </row>
    <row r="328" spans="1:10">
      <c r="A328" s="178">
        <v>30</v>
      </c>
      <c r="B328" s="178" t="s">
        <v>360</v>
      </c>
      <c r="C328" s="178">
        <v>0</v>
      </c>
      <c r="D328" s="178">
        <v>0</v>
      </c>
      <c r="E328" s="178">
        <v>0</v>
      </c>
      <c r="F328" s="178">
        <v>0</v>
      </c>
      <c r="G328" s="178">
        <v>0</v>
      </c>
      <c r="H328" s="178">
        <v>0</v>
      </c>
      <c r="I328" s="178">
        <v>0</v>
      </c>
      <c r="J328" s="178" t="s">
        <v>497</v>
      </c>
    </row>
    <row r="329" spans="1:10">
      <c r="A329" s="178">
        <v>40</v>
      </c>
      <c r="B329" s="178" t="s">
        <v>266</v>
      </c>
      <c r="C329" s="178">
        <v>0</v>
      </c>
      <c r="D329" s="178">
        <v>0</v>
      </c>
      <c r="E329" s="178">
        <v>0</v>
      </c>
      <c r="F329" s="178">
        <v>0</v>
      </c>
      <c r="G329" s="178">
        <v>0</v>
      </c>
      <c r="H329" s="178">
        <v>0</v>
      </c>
      <c r="I329" s="178">
        <v>0</v>
      </c>
      <c r="J329" s="178" t="s">
        <v>497</v>
      </c>
    </row>
    <row r="330" spans="1:10">
      <c r="A330" s="178">
        <v>50</v>
      </c>
      <c r="B330" s="178" t="s">
        <v>267</v>
      </c>
      <c r="C330" s="178">
        <v>0</v>
      </c>
      <c r="D330" s="178">
        <v>0</v>
      </c>
      <c r="E330" s="178">
        <v>0</v>
      </c>
      <c r="F330" s="178">
        <v>0</v>
      </c>
      <c r="G330" s="178">
        <v>0</v>
      </c>
      <c r="H330" s="178">
        <v>0</v>
      </c>
      <c r="I330" s="178">
        <v>0</v>
      </c>
      <c r="J330" s="178" t="s">
        <v>497</v>
      </c>
    </row>
    <row r="331" spans="1:10">
      <c r="A331" s="178">
        <v>60</v>
      </c>
      <c r="B331" s="178" t="s">
        <v>268</v>
      </c>
      <c r="C331" s="178">
        <v>0</v>
      </c>
      <c r="D331" s="178">
        <v>0</v>
      </c>
      <c r="E331" s="178">
        <v>0</v>
      </c>
      <c r="F331" s="178">
        <v>0</v>
      </c>
      <c r="G331" s="178">
        <v>0</v>
      </c>
      <c r="H331" s="178">
        <v>0</v>
      </c>
      <c r="I331" s="178">
        <v>0</v>
      </c>
      <c r="J331" s="178" t="s">
        <v>497</v>
      </c>
    </row>
    <row r="332" spans="1:10">
      <c r="A332" s="178">
        <v>70</v>
      </c>
      <c r="B332" s="178" t="s">
        <v>269</v>
      </c>
      <c r="C332" s="178">
        <v>904572.29</v>
      </c>
      <c r="D332" s="178">
        <v>0</v>
      </c>
      <c r="E332" s="178">
        <v>904572.29</v>
      </c>
      <c r="F332" s="178">
        <v>0</v>
      </c>
      <c r="G332" s="178">
        <v>0</v>
      </c>
      <c r="H332" s="178">
        <v>904572.29</v>
      </c>
      <c r="I332" s="178">
        <v>904572.29</v>
      </c>
      <c r="J332" s="178" t="s">
        <v>497</v>
      </c>
    </row>
    <row r="333" spans="1:10">
      <c r="A333" s="178">
        <v>80</v>
      </c>
      <c r="B333" s="178" t="s">
        <v>560</v>
      </c>
      <c r="C333" s="178">
        <v>3324.6</v>
      </c>
      <c r="D333" s="178">
        <v>0</v>
      </c>
      <c r="E333" s="178">
        <v>3324.6</v>
      </c>
      <c r="F333" s="178">
        <v>3324.6</v>
      </c>
      <c r="G333" s="178">
        <v>3324.6</v>
      </c>
      <c r="H333" s="178">
        <v>0</v>
      </c>
      <c r="I333" s="178">
        <v>0</v>
      </c>
      <c r="J333" s="178" t="s">
        <v>497</v>
      </c>
    </row>
    <row r="334" spans="1:10">
      <c r="A334" s="178">
        <v>100</v>
      </c>
      <c r="B334" s="178" t="s">
        <v>547</v>
      </c>
      <c r="C334" s="178">
        <v>923959.14</v>
      </c>
      <c r="D334" s="178">
        <v>0</v>
      </c>
      <c r="E334" s="178">
        <v>923959.14</v>
      </c>
      <c r="F334" s="178">
        <v>12256.6</v>
      </c>
      <c r="G334" s="178">
        <v>12256.6</v>
      </c>
      <c r="H334" s="178">
        <v>911702.54</v>
      </c>
      <c r="I334" s="178">
        <v>911702.54</v>
      </c>
      <c r="J334" s="178" t="s">
        <v>497</v>
      </c>
    </row>
    <row r="335" spans="1:10">
      <c r="A335" s="178">
        <v>110</v>
      </c>
      <c r="B335" s="178" t="s">
        <v>548</v>
      </c>
      <c r="C335" s="178">
        <v>0</v>
      </c>
      <c r="D335" s="178">
        <v>0</v>
      </c>
      <c r="E335" s="178">
        <v>0</v>
      </c>
      <c r="F335" s="178">
        <v>0</v>
      </c>
      <c r="G335" s="178">
        <v>0</v>
      </c>
      <c r="H335" s="178">
        <v>0</v>
      </c>
      <c r="I335" s="178">
        <v>0</v>
      </c>
      <c r="J335" s="178" t="s">
        <v>497</v>
      </c>
    </row>
    <row r="336" spans="1:10">
      <c r="A336" s="178">
        <v>120</v>
      </c>
      <c r="B336" s="178" t="s">
        <v>322</v>
      </c>
      <c r="C336" s="178">
        <v>0</v>
      </c>
      <c r="D336" s="178">
        <v>0</v>
      </c>
      <c r="E336" s="178">
        <v>0</v>
      </c>
      <c r="F336" s="178">
        <v>0</v>
      </c>
      <c r="G336" s="178">
        <v>0</v>
      </c>
      <c r="H336" s="178">
        <v>0</v>
      </c>
      <c r="I336" s="178">
        <v>0</v>
      </c>
      <c r="J336" s="178" t="s">
        <v>497</v>
      </c>
    </row>
    <row r="337" spans="1:10">
      <c r="A337" s="178">
        <v>130</v>
      </c>
      <c r="B337" s="178" t="s">
        <v>282</v>
      </c>
      <c r="C337" s="178">
        <v>1</v>
      </c>
      <c r="D337" s="178">
        <v>0</v>
      </c>
      <c r="E337" s="178">
        <v>1</v>
      </c>
      <c r="F337" s="178">
        <v>0</v>
      </c>
      <c r="G337" s="178">
        <v>0</v>
      </c>
      <c r="H337" s="178">
        <v>1</v>
      </c>
      <c r="I337" s="178">
        <v>1</v>
      </c>
      <c r="J337" s="178" t="s">
        <v>497</v>
      </c>
    </row>
    <row r="338" spans="1:10">
      <c r="A338" s="178">
        <v>140</v>
      </c>
      <c r="B338" s="178" t="s">
        <v>364</v>
      </c>
      <c r="C338" s="178">
        <v>1</v>
      </c>
      <c r="D338" s="178">
        <v>0</v>
      </c>
      <c r="E338" s="178">
        <v>1</v>
      </c>
      <c r="F338" s="178">
        <v>0</v>
      </c>
      <c r="G338" s="178">
        <v>0</v>
      </c>
      <c r="H338" s="178">
        <v>1</v>
      </c>
      <c r="I338" s="178">
        <v>1</v>
      </c>
      <c r="J338" s="178" t="s">
        <v>497</v>
      </c>
    </row>
    <row r="339" spans="1:10">
      <c r="A339" s="178">
        <v>150</v>
      </c>
      <c r="B339" s="178" t="s">
        <v>285</v>
      </c>
      <c r="C339" s="178">
        <v>1</v>
      </c>
      <c r="D339" s="178">
        <v>0</v>
      </c>
      <c r="E339" s="178">
        <v>1</v>
      </c>
      <c r="F339" s="178">
        <v>0</v>
      </c>
      <c r="G339" s="178">
        <v>0</v>
      </c>
      <c r="H339" s="178">
        <v>1</v>
      </c>
      <c r="I339" s="178">
        <v>1</v>
      </c>
      <c r="J339" s="178" t="s">
        <v>497</v>
      </c>
    </row>
    <row r="340" spans="1:10">
      <c r="A340" s="178">
        <v>160</v>
      </c>
      <c r="B340" s="178" t="s">
        <v>284</v>
      </c>
      <c r="C340" s="178">
        <v>0</v>
      </c>
      <c r="D340" s="178">
        <v>0</v>
      </c>
      <c r="E340" s="178">
        <v>0</v>
      </c>
      <c r="F340" s="178">
        <v>0</v>
      </c>
      <c r="G340" s="178">
        <v>0</v>
      </c>
      <c r="H340" s="178">
        <v>0</v>
      </c>
      <c r="I340" s="178">
        <v>0</v>
      </c>
      <c r="J340" s="178" t="s">
        <v>497</v>
      </c>
    </row>
    <row r="341" spans="1:10">
      <c r="A341" s="178">
        <v>170</v>
      </c>
      <c r="B341" s="178" t="s">
        <v>283</v>
      </c>
      <c r="C341" s="178">
        <v>1</v>
      </c>
      <c r="D341" s="178">
        <v>0</v>
      </c>
      <c r="E341" s="178">
        <v>1</v>
      </c>
      <c r="F341" s="178">
        <v>0</v>
      </c>
      <c r="G341" s="178">
        <v>0</v>
      </c>
      <c r="H341" s="178">
        <v>1</v>
      </c>
      <c r="I341" s="178">
        <v>1</v>
      </c>
      <c r="J341" s="178" t="s">
        <v>497</v>
      </c>
    </row>
    <row r="342" spans="1:10">
      <c r="A342" s="178">
        <v>180</v>
      </c>
      <c r="B342" s="178" t="s">
        <v>366</v>
      </c>
      <c r="C342" s="178">
        <v>1</v>
      </c>
      <c r="D342" s="178">
        <v>0</v>
      </c>
      <c r="E342" s="178">
        <v>1</v>
      </c>
      <c r="F342" s="178">
        <v>0</v>
      </c>
      <c r="G342" s="178">
        <v>0</v>
      </c>
      <c r="H342" s="178">
        <v>1</v>
      </c>
      <c r="I342" s="178">
        <v>1</v>
      </c>
      <c r="J342" s="178" t="s">
        <v>497</v>
      </c>
    </row>
    <row r="343" spans="1:10">
      <c r="A343" s="178">
        <v>190</v>
      </c>
      <c r="B343" s="178" t="s">
        <v>367</v>
      </c>
      <c r="C343" s="178">
        <v>0</v>
      </c>
      <c r="D343" s="178">
        <v>0</v>
      </c>
      <c r="E343" s="178">
        <v>0</v>
      </c>
      <c r="F343" s="178">
        <v>0</v>
      </c>
      <c r="G343" s="178">
        <v>0</v>
      </c>
      <c r="H343" s="178">
        <v>0</v>
      </c>
      <c r="I343" s="178">
        <v>0</v>
      </c>
      <c r="J343" s="178" t="s">
        <v>497</v>
      </c>
    </row>
    <row r="344" spans="1:10">
      <c r="A344" s="178">
        <v>200</v>
      </c>
      <c r="B344" s="178" t="s">
        <v>368</v>
      </c>
      <c r="C344" s="178">
        <v>5</v>
      </c>
      <c r="D344" s="178">
        <v>0</v>
      </c>
      <c r="E344" s="178">
        <v>5</v>
      </c>
      <c r="F344" s="178">
        <v>0</v>
      </c>
      <c r="G344" s="178">
        <v>0</v>
      </c>
      <c r="H344" s="178">
        <v>5</v>
      </c>
      <c r="I344" s="178">
        <v>5</v>
      </c>
      <c r="J344" s="178" t="s">
        <v>497</v>
      </c>
    </row>
    <row r="345" spans="1:10">
      <c r="A345" s="178">
        <v>210</v>
      </c>
      <c r="B345" s="178" t="s">
        <v>549</v>
      </c>
      <c r="C345" s="178">
        <v>0</v>
      </c>
      <c r="D345" s="178">
        <v>0</v>
      </c>
      <c r="E345" s="178">
        <v>0</v>
      </c>
      <c r="F345" s="178">
        <v>0</v>
      </c>
      <c r="G345" s="178">
        <v>0</v>
      </c>
      <c r="H345" s="178">
        <v>0</v>
      </c>
      <c r="I345" s="178">
        <v>0</v>
      </c>
      <c r="J345" s="178" t="s">
        <v>497</v>
      </c>
    </row>
    <row r="346" spans="1:10">
      <c r="A346" s="178">
        <v>220</v>
      </c>
      <c r="B346" s="178" t="s">
        <v>370</v>
      </c>
      <c r="C346" s="178">
        <v>0</v>
      </c>
      <c r="D346" s="178">
        <v>0</v>
      </c>
      <c r="E346" s="178">
        <v>0</v>
      </c>
      <c r="F346" s="178">
        <v>0</v>
      </c>
      <c r="G346" s="178">
        <v>0</v>
      </c>
      <c r="H346" s="178">
        <v>0</v>
      </c>
      <c r="I346" s="178">
        <v>0</v>
      </c>
      <c r="J346" s="178" t="s">
        <v>497</v>
      </c>
    </row>
    <row r="347" spans="1:10">
      <c r="A347" s="178">
        <v>230</v>
      </c>
      <c r="B347" s="178" t="s">
        <v>371</v>
      </c>
      <c r="C347" s="178">
        <v>0</v>
      </c>
      <c r="D347" s="178">
        <v>0</v>
      </c>
      <c r="E347" s="178">
        <v>0</v>
      </c>
      <c r="F347" s="178">
        <v>0</v>
      </c>
      <c r="G347" s="178">
        <v>0</v>
      </c>
      <c r="H347" s="178">
        <v>0</v>
      </c>
      <c r="I347" s="178">
        <v>0</v>
      </c>
      <c r="J347" s="178" t="s">
        <v>497</v>
      </c>
    </row>
    <row r="348" spans="1:10">
      <c r="A348" s="178">
        <v>240</v>
      </c>
      <c r="B348" s="178" t="s">
        <v>372</v>
      </c>
      <c r="C348" s="178">
        <v>0</v>
      </c>
      <c r="D348" s="178">
        <v>0</v>
      </c>
      <c r="E348" s="178">
        <v>0</v>
      </c>
      <c r="F348" s="178">
        <v>0</v>
      </c>
      <c r="G348" s="178">
        <v>0</v>
      </c>
      <c r="H348" s="178">
        <v>0</v>
      </c>
      <c r="I348" s="178">
        <v>0</v>
      </c>
      <c r="J348" s="178" t="s">
        <v>497</v>
      </c>
    </row>
    <row r="349" spans="1:10">
      <c r="A349" s="178">
        <v>250</v>
      </c>
      <c r="B349" s="178" t="s">
        <v>373</v>
      </c>
      <c r="C349" s="178">
        <v>0</v>
      </c>
      <c r="D349" s="178">
        <v>0</v>
      </c>
      <c r="E349" s="178">
        <v>0</v>
      </c>
      <c r="F349" s="178">
        <v>0</v>
      </c>
      <c r="G349" s="178">
        <v>0</v>
      </c>
      <c r="H349" s="178">
        <v>0</v>
      </c>
      <c r="I349" s="178">
        <v>0</v>
      </c>
      <c r="J349" s="178" t="s">
        <v>497</v>
      </c>
    </row>
    <row r="350" spans="1:10">
      <c r="A350" s="178">
        <v>260</v>
      </c>
      <c r="B350" s="178" t="s">
        <v>374</v>
      </c>
      <c r="C350" s="178">
        <v>0</v>
      </c>
      <c r="D350" s="178">
        <v>0</v>
      </c>
      <c r="E350" s="178">
        <v>0</v>
      </c>
      <c r="F350" s="178">
        <v>0</v>
      </c>
      <c r="G350" s="178">
        <v>0</v>
      </c>
      <c r="H350" s="178">
        <v>0</v>
      </c>
      <c r="I350" s="178">
        <v>0</v>
      </c>
      <c r="J350" s="178" t="s">
        <v>497</v>
      </c>
    </row>
    <row r="351" spans="1:10">
      <c r="A351" s="178">
        <v>270</v>
      </c>
      <c r="B351" s="178" t="s">
        <v>375</v>
      </c>
      <c r="C351" s="178">
        <v>0</v>
      </c>
      <c r="D351" s="178">
        <v>0</v>
      </c>
      <c r="E351" s="178">
        <v>0</v>
      </c>
      <c r="F351" s="178">
        <v>0</v>
      </c>
      <c r="G351" s="178">
        <v>0</v>
      </c>
      <c r="H351" s="178">
        <v>0</v>
      </c>
      <c r="I351" s="178">
        <v>0</v>
      </c>
      <c r="J351" s="178" t="s">
        <v>497</v>
      </c>
    </row>
    <row r="352" spans="1:10">
      <c r="A352" s="178">
        <v>280</v>
      </c>
      <c r="B352" s="178" t="s">
        <v>550</v>
      </c>
      <c r="C352" s="178">
        <v>0</v>
      </c>
      <c r="D352" s="178">
        <v>0</v>
      </c>
      <c r="E352" s="178">
        <v>0</v>
      </c>
      <c r="F352" s="178">
        <v>0</v>
      </c>
      <c r="G352" s="178">
        <v>0</v>
      </c>
      <c r="H352" s="178">
        <v>0</v>
      </c>
      <c r="I352" s="178">
        <v>0</v>
      </c>
      <c r="J352" s="178" t="s">
        <v>497</v>
      </c>
    </row>
    <row r="353" spans="1:10">
      <c r="A353" s="178">
        <v>400</v>
      </c>
      <c r="B353" s="178" t="s">
        <v>377</v>
      </c>
      <c r="C353" s="178">
        <v>923964.14</v>
      </c>
      <c r="D353" s="178">
        <v>0</v>
      </c>
      <c r="E353" s="178">
        <v>923964.14</v>
      </c>
      <c r="F353" s="178">
        <v>12256.6</v>
      </c>
      <c r="G353" s="178">
        <v>12256.6</v>
      </c>
      <c r="H353" s="178">
        <v>911707.54</v>
      </c>
      <c r="I353" s="178">
        <v>911707.54</v>
      </c>
      <c r="J353" s="178" t="s">
        <v>497</v>
      </c>
    </row>
    <row r="354" spans="1:10">
      <c r="A354" s="178">
        <v>410</v>
      </c>
      <c r="B354" s="178" t="s">
        <v>551</v>
      </c>
      <c r="C354" s="178">
        <v>0</v>
      </c>
      <c r="D354" s="178">
        <v>0</v>
      </c>
      <c r="E354" s="178">
        <v>0</v>
      </c>
      <c r="F354" s="178">
        <v>0</v>
      </c>
      <c r="G354" s="178">
        <v>0</v>
      </c>
      <c r="H354" s="178">
        <v>0</v>
      </c>
      <c r="I354" s="178">
        <v>0</v>
      </c>
      <c r="J354" s="178" t="s">
        <v>497</v>
      </c>
    </row>
    <row r="355" spans="1:10">
      <c r="A355" s="178">
        <v>420</v>
      </c>
      <c r="B355" s="178" t="s">
        <v>270</v>
      </c>
      <c r="C355" s="178">
        <v>0</v>
      </c>
      <c r="D355" s="178">
        <v>0</v>
      </c>
      <c r="E355" s="178">
        <v>0</v>
      </c>
      <c r="F355" s="178">
        <v>0</v>
      </c>
      <c r="G355" s="178">
        <v>0</v>
      </c>
      <c r="H355" s="178">
        <v>0</v>
      </c>
      <c r="I355" s="178">
        <v>0</v>
      </c>
      <c r="J355" s="178" t="s">
        <v>497</v>
      </c>
    </row>
    <row r="356" spans="1:10">
      <c r="A356" s="178">
        <v>430</v>
      </c>
      <c r="B356" s="178" t="s">
        <v>379</v>
      </c>
      <c r="C356" s="178">
        <v>35.7</v>
      </c>
      <c r="D356" s="178">
        <v>0</v>
      </c>
      <c r="E356" s="178">
        <v>35.7</v>
      </c>
      <c r="F356" s="178">
        <v>35.7</v>
      </c>
      <c r="G356" s="178">
        <v>35.7</v>
      </c>
      <c r="H356" s="178">
        <v>0</v>
      </c>
      <c r="I356" s="178">
        <v>0</v>
      </c>
      <c r="J356" s="178" t="s">
        <v>497</v>
      </c>
    </row>
    <row r="357" spans="1:10">
      <c r="A357" s="178">
        <v>440</v>
      </c>
      <c r="B357" s="178" t="s">
        <v>380</v>
      </c>
      <c r="C357" s="178">
        <v>0</v>
      </c>
      <c r="D357" s="178">
        <v>0</v>
      </c>
      <c r="E357" s="178">
        <v>0</v>
      </c>
      <c r="F357" s="178">
        <v>0</v>
      </c>
      <c r="G357" s="178">
        <v>0</v>
      </c>
      <c r="H357" s="178">
        <v>0</v>
      </c>
      <c r="I357" s="178">
        <v>0</v>
      </c>
      <c r="J357" s="178" t="s">
        <v>497</v>
      </c>
    </row>
    <row r="358" spans="1:10">
      <c r="A358" s="178">
        <v>450</v>
      </c>
      <c r="B358" s="178" t="s">
        <v>381</v>
      </c>
      <c r="C358" s="178">
        <v>0</v>
      </c>
      <c r="D358" s="178">
        <v>0</v>
      </c>
      <c r="E358" s="178">
        <v>0</v>
      </c>
      <c r="F358" s="178">
        <v>0</v>
      </c>
      <c r="G358" s="178">
        <v>0</v>
      </c>
      <c r="H358" s="178">
        <v>0</v>
      </c>
      <c r="I358" s="178">
        <v>0</v>
      </c>
      <c r="J358" s="178" t="s">
        <v>497</v>
      </c>
    </row>
    <row r="359" spans="1:10">
      <c r="A359" s="178">
        <v>460</v>
      </c>
      <c r="B359" s="178" t="s">
        <v>553</v>
      </c>
      <c r="C359" s="178">
        <v>0</v>
      </c>
      <c r="D359" s="178">
        <v>0</v>
      </c>
      <c r="E359" s="178">
        <v>0</v>
      </c>
      <c r="F359" s="178">
        <v>0</v>
      </c>
      <c r="G359" s="178">
        <v>0</v>
      </c>
      <c r="H359" s="178">
        <v>0</v>
      </c>
      <c r="I359" s="178">
        <v>0</v>
      </c>
      <c r="J359" s="178" t="s">
        <v>497</v>
      </c>
    </row>
    <row r="360" spans="1:10">
      <c r="A360" s="178">
        <v>500</v>
      </c>
      <c r="B360" s="178" t="s">
        <v>383</v>
      </c>
      <c r="C360" s="178">
        <v>35.7</v>
      </c>
      <c r="D360" s="178">
        <v>0</v>
      </c>
      <c r="E360" s="178">
        <v>35.7</v>
      </c>
      <c r="F360" s="178">
        <v>35.7</v>
      </c>
      <c r="G360" s="178">
        <v>35.7</v>
      </c>
      <c r="H360" s="178">
        <v>0</v>
      </c>
      <c r="I360" s="178">
        <v>0</v>
      </c>
      <c r="J360" s="178" t="s">
        <v>497</v>
      </c>
    </row>
    <row r="361" spans="1:10">
      <c r="A361" s="178">
        <v>510</v>
      </c>
      <c r="B361" s="178" t="s">
        <v>554</v>
      </c>
      <c r="C361" s="178">
        <v>0</v>
      </c>
      <c r="D361" s="178">
        <v>0</v>
      </c>
      <c r="E361" s="178">
        <v>0</v>
      </c>
      <c r="F361" s="178">
        <v>0</v>
      </c>
      <c r="G361" s="178">
        <v>0</v>
      </c>
      <c r="H361" s="178">
        <v>0</v>
      </c>
      <c r="I361" s="178">
        <v>0</v>
      </c>
      <c r="J361" s="178" t="s">
        <v>497</v>
      </c>
    </row>
    <row r="362" spans="1:10">
      <c r="A362" s="178">
        <v>520</v>
      </c>
      <c r="B362" s="178" t="s">
        <v>385</v>
      </c>
      <c r="C362" s="178">
        <v>-1686663.35</v>
      </c>
      <c r="D362" s="178">
        <v>0</v>
      </c>
      <c r="E362" s="178">
        <v>-1686663.35</v>
      </c>
      <c r="F362" s="178">
        <v>33000</v>
      </c>
      <c r="G362" s="178">
        <v>33000</v>
      </c>
      <c r="H362" s="178">
        <v>-1719663.35</v>
      </c>
      <c r="I362" s="178">
        <v>-1719663.35</v>
      </c>
      <c r="J362" s="178" t="s">
        <v>497</v>
      </c>
    </row>
    <row r="363" spans="1:10">
      <c r="A363" s="178">
        <v>530</v>
      </c>
      <c r="B363" s="178" t="s">
        <v>386</v>
      </c>
      <c r="C363" s="178">
        <v>0</v>
      </c>
      <c r="D363" s="178">
        <v>0</v>
      </c>
      <c r="E363" s="178">
        <v>0</v>
      </c>
      <c r="F363" s="178">
        <v>0</v>
      </c>
      <c r="G363" s="178">
        <v>0</v>
      </c>
      <c r="H363" s="178">
        <v>0</v>
      </c>
      <c r="I363" s="178">
        <v>0</v>
      </c>
      <c r="J363" s="178" t="s">
        <v>497</v>
      </c>
    </row>
    <row r="364" spans="1:10">
      <c r="A364" s="178">
        <v>540</v>
      </c>
      <c r="B364" s="178" t="s">
        <v>387</v>
      </c>
      <c r="C364" s="178">
        <v>0</v>
      </c>
      <c r="D364" s="178">
        <v>0</v>
      </c>
      <c r="E364" s="178">
        <v>0</v>
      </c>
      <c r="F364" s="178">
        <v>0</v>
      </c>
      <c r="G364" s="178">
        <v>0</v>
      </c>
      <c r="H364" s="178">
        <v>0</v>
      </c>
      <c r="I364" s="178">
        <v>0</v>
      </c>
      <c r="J364" s="178" t="s">
        <v>497</v>
      </c>
    </row>
    <row r="365" spans="1:10">
      <c r="A365" s="178">
        <v>600</v>
      </c>
      <c r="B365" s="178" t="s">
        <v>388</v>
      </c>
      <c r="C365" s="178">
        <v>-1686663.35</v>
      </c>
      <c r="D365" s="178">
        <v>0</v>
      </c>
      <c r="E365" s="178">
        <v>-1686663.35</v>
      </c>
      <c r="F365" s="178">
        <v>33000</v>
      </c>
      <c r="G365" s="178">
        <v>33000</v>
      </c>
      <c r="H365" s="178">
        <v>-1719663.35</v>
      </c>
      <c r="I365" s="178">
        <v>-1719663.35</v>
      </c>
      <c r="J365" s="178" t="s">
        <v>497</v>
      </c>
    </row>
    <row r="366" spans="1:10">
      <c r="A366" s="178">
        <v>610</v>
      </c>
      <c r="B366" s="178" t="s">
        <v>556</v>
      </c>
      <c r="C366" s="178">
        <v>0</v>
      </c>
      <c r="D366" s="178">
        <v>0</v>
      </c>
      <c r="E366" s="178">
        <v>0</v>
      </c>
      <c r="F366" s="178">
        <v>0</v>
      </c>
      <c r="G366" s="178">
        <v>0</v>
      </c>
      <c r="H366" s="178">
        <v>0</v>
      </c>
      <c r="I366" s="178">
        <v>0</v>
      </c>
      <c r="J366" s="178" t="s">
        <v>497</v>
      </c>
    </row>
    <row r="367" spans="1:10">
      <c r="A367" s="178">
        <v>620</v>
      </c>
      <c r="B367" s="178" t="s">
        <v>390</v>
      </c>
      <c r="C367" s="178">
        <v>0</v>
      </c>
      <c r="D367" s="178">
        <v>0</v>
      </c>
      <c r="E367" s="178">
        <v>0</v>
      </c>
      <c r="F367" s="178">
        <v>0</v>
      </c>
      <c r="G367" s="178">
        <v>0</v>
      </c>
      <c r="H367" s="178">
        <v>0</v>
      </c>
      <c r="I367" s="178">
        <v>0</v>
      </c>
      <c r="J367" s="178" t="s">
        <v>497</v>
      </c>
    </row>
    <row r="368" spans="1:10">
      <c r="A368" s="178">
        <v>700</v>
      </c>
      <c r="B368" s="178" t="s">
        <v>557</v>
      </c>
      <c r="C368" s="178">
        <v>0</v>
      </c>
      <c r="D368" s="178">
        <v>0</v>
      </c>
      <c r="E368" s="178">
        <v>0</v>
      </c>
      <c r="F368" s="178">
        <v>0</v>
      </c>
      <c r="G368" s="178">
        <v>0</v>
      </c>
      <c r="H368" s="178">
        <v>0</v>
      </c>
      <c r="I368" s="178">
        <v>0</v>
      </c>
      <c r="J368" s="178" t="s">
        <v>497</v>
      </c>
    </row>
    <row r="369" spans="1:10">
      <c r="A369" s="178">
        <v>710</v>
      </c>
      <c r="B369" s="178" t="s">
        <v>558</v>
      </c>
      <c r="C369" s="178">
        <v>0</v>
      </c>
      <c r="D369" s="178">
        <v>0</v>
      </c>
      <c r="E369" s="178">
        <v>0</v>
      </c>
      <c r="F369" s="178">
        <v>0</v>
      </c>
      <c r="G369" s="178">
        <v>0</v>
      </c>
      <c r="H369" s="178">
        <v>0</v>
      </c>
      <c r="I369" s="178">
        <v>0</v>
      </c>
      <c r="J369" s="178" t="s">
        <v>497</v>
      </c>
    </row>
    <row r="370" spans="1:10">
      <c r="A370" s="178">
        <v>720</v>
      </c>
      <c r="B370" s="178" t="s">
        <v>276</v>
      </c>
      <c r="C370" s="178">
        <v>10560000</v>
      </c>
      <c r="D370" s="178">
        <v>0</v>
      </c>
      <c r="E370" s="178">
        <v>10560000</v>
      </c>
      <c r="F370" s="178">
        <v>0</v>
      </c>
      <c r="G370" s="178">
        <v>0</v>
      </c>
      <c r="H370" s="178">
        <v>10560000</v>
      </c>
      <c r="I370" s="178">
        <v>10560000</v>
      </c>
      <c r="J370" s="178" t="s">
        <v>497</v>
      </c>
    </row>
    <row r="371" spans="1:10">
      <c r="A371" s="178">
        <v>730</v>
      </c>
      <c r="B371" s="178" t="s">
        <v>393</v>
      </c>
      <c r="C371" s="178">
        <v>36757.64</v>
      </c>
      <c r="D371" s="178">
        <v>0</v>
      </c>
      <c r="E371" s="178">
        <v>36757.64</v>
      </c>
      <c r="F371" s="178">
        <v>0</v>
      </c>
      <c r="G371" s="178">
        <v>0</v>
      </c>
      <c r="H371" s="178">
        <v>36757.64</v>
      </c>
      <c r="I371" s="178">
        <v>36757.64</v>
      </c>
      <c r="J371" s="178" t="s">
        <v>497</v>
      </c>
    </row>
    <row r="372" spans="1:10">
      <c r="A372" s="178">
        <v>740</v>
      </c>
      <c r="B372" s="178" t="s">
        <v>394</v>
      </c>
      <c r="C372" s="178">
        <v>-7965386.75</v>
      </c>
      <c r="D372" s="178">
        <v>0</v>
      </c>
      <c r="E372" s="178">
        <v>-7965386.75</v>
      </c>
      <c r="F372" s="178">
        <v>0</v>
      </c>
      <c r="G372" s="178">
        <v>0</v>
      </c>
      <c r="H372" s="178">
        <v>-4867774.25</v>
      </c>
      <c r="I372" s="178">
        <v>-7965386.75</v>
      </c>
      <c r="J372" s="178" t="s">
        <v>497</v>
      </c>
    </row>
    <row r="373" spans="1:10">
      <c r="A373" s="178">
        <v>750</v>
      </c>
      <c r="B373" s="178" t="s">
        <v>395</v>
      </c>
      <c r="C373" s="178">
        <v>-20779.1</v>
      </c>
      <c r="D373" s="178">
        <v>0</v>
      </c>
      <c r="E373" s="178">
        <v>-20779.1</v>
      </c>
      <c r="F373" s="178">
        <v>-20779.1</v>
      </c>
      <c r="G373" s="178">
        <v>-20779.1</v>
      </c>
      <c r="H373" s="178">
        <v>-3097612.5</v>
      </c>
      <c r="I373" s="178">
        <v>0</v>
      </c>
      <c r="J373" s="178" t="s">
        <v>497</v>
      </c>
    </row>
    <row r="374" spans="1:10">
      <c r="A374" s="178">
        <v>760</v>
      </c>
      <c r="B374" s="178" t="s">
        <v>396</v>
      </c>
      <c r="C374" s="178">
        <v>0</v>
      </c>
      <c r="D374" s="178">
        <v>0</v>
      </c>
      <c r="E374" s="178">
        <v>0</v>
      </c>
      <c r="F374" s="178">
        <v>0</v>
      </c>
      <c r="G374" s="178">
        <v>0</v>
      </c>
      <c r="H374" s="178">
        <v>0</v>
      </c>
      <c r="I374" s="178">
        <v>0</v>
      </c>
      <c r="J374" s="178" t="s">
        <v>497</v>
      </c>
    </row>
    <row r="375" spans="1:10">
      <c r="A375" s="178">
        <v>770</v>
      </c>
      <c r="B375" s="178" t="s">
        <v>397</v>
      </c>
      <c r="C375" s="178">
        <v>0</v>
      </c>
      <c r="D375" s="178">
        <v>0</v>
      </c>
      <c r="E375" s="178">
        <v>0</v>
      </c>
      <c r="F375" s="178">
        <v>0</v>
      </c>
      <c r="G375" s="178">
        <v>0</v>
      </c>
      <c r="H375" s="178">
        <v>0</v>
      </c>
      <c r="I375" s="178">
        <v>0</v>
      </c>
      <c r="J375" s="178" t="s">
        <v>497</v>
      </c>
    </row>
    <row r="376" spans="1:10">
      <c r="A376" s="178">
        <v>800</v>
      </c>
      <c r="B376" s="178" t="s">
        <v>398</v>
      </c>
      <c r="C376" s="178">
        <v>2610591.79</v>
      </c>
      <c r="D376" s="178">
        <v>0</v>
      </c>
      <c r="E376" s="178">
        <v>2610591.79</v>
      </c>
      <c r="F376" s="178">
        <v>-20779.1</v>
      </c>
      <c r="G376" s="178">
        <v>-20779.1</v>
      </c>
      <c r="H376" s="178">
        <v>2631370.89</v>
      </c>
      <c r="I376" s="178">
        <v>2631370.89</v>
      </c>
      <c r="J376" s="178" t="s">
        <v>497</v>
      </c>
    </row>
    <row r="377" spans="1:10">
      <c r="A377" s="178">
        <v>900</v>
      </c>
      <c r="B377" s="178" t="s">
        <v>399</v>
      </c>
      <c r="C377" s="178">
        <v>923964.14</v>
      </c>
      <c r="D377" s="178">
        <v>0</v>
      </c>
      <c r="E377" s="178">
        <v>923964.14</v>
      </c>
      <c r="F377" s="178">
        <v>12256.6</v>
      </c>
      <c r="G377" s="178">
        <v>12256.6</v>
      </c>
      <c r="H377" s="178">
        <v>911707.54</v>
      </c>
      <c r="I377" s="178">
        <v>911707.54</v>
      </c>
      <c r="J377" s="178" t="s">
        <v>497</v>
      </c>
    </row>
    <row r="378" spans="1:10">
      <c r="A378" s="178">
        <v>1000</v>
      </c>
      <c r="B378" s="178" t="s">
        <v>559</v>
      </c>
      <c r="C378" s="178">
        <v>0</v>
      </c>
      <c r="D378" s="178">
        <v>0</v>
      </c>
      <c r="E378" s="178">
        <v>0</v>
      </c>
      <c r="F378" s="178">
        <v>0</v>
      </c>
      <c r="G378" s="178">
        <v>0</v>
      </c>
      <c r="H378" s="178">
        <v>0</v>
      </c>
      <c r="I378" s="178">
        <v>0</v>
      </c>
      <c r="J378" s="178" t="s">
        <v>497</v>
      </c>
    </row>
    <row r="379" spans="1:10">
      <c r="A379" s="178" t="s">
        <v>440</v>
      </c>
      <c r="B379" s="178" t="s">
        <v>402</v>
      </c>
      <c r="C379" s="178" t="s">
        <v>538</v>
      </c>
      <c r="D379" s="178" t="s">
        <v>539</v>
      </c>
      <c r="E379" s="178" t="s">
        <v>540</v>
      </c>
      <c r="F379" s="178" t="s">
        <v>541</v>
      </c>
      <c r="G379" s="178" t="s">
        <v>542</v>
      </c>
      <c r="H379" s="178" t="s">
        <v>543</v>
      </c>
      <c r="I379" s="178" t="s">
        <v>544</v>
      </c>
      <c r="J379" s="178" t="s">
        <v>405</v>
      </c>
    </row>
    <row r="380" spans="1:10">
      <c r="A380" s="178">
        <v>10</v>
      </c>
      <c r="B380" s="178" t="s">
        <v>545</v>
      </c>
      <c r="C380" s="178">
        <v>0</v>
      </c>
      <c r="D380" s="178">
        <v>0</v>
      </c>
      <c r="E380" s="178">
        <v>0</v>
      </c>
      <c r="F380" s="178">
        <v>0</v>
      </c>
      <c r="G380" s="178">
        <v>0</v>
      </c>
      <c r="H380" s="178">
        <v>0</v>
      </c>
      <c r="I380" s="178">
        <v>0</v>
      </c>
      <c r="J380" s="178" t="s">
        <v>497</v>
      </c>
    </row>
    <row r="381" spans="1:10">
      <c r="A381" s="178">
        <v>20</v>
      </c>
      <c r="B381" s="178" t="s">
        <v>359</v>
      </c>
      <c r="C381" s="178">
        <v>-16284.99</v>
      </c>
      <c r="D381" s="178">
        <v>0</v>
      </c>
      <c r="E381" s="178">
        <v>-16284.99</v>
      </c>
      <c r="F381" s="178">
        <v>-24150.04</v>
      </c>
      <c r="G381" s="178">
        <v>-24150.04</v>
      </c>
      <c r="H381" s="178">
        <v>7865.05</v>
      </c>
      <c r="I381" s="178">
        <v>7865.05</v>
      </c>
      <c r="J381" s="178" t="s">
        <v>497</v>
      </c>
    </row>
    <row r="382" spans="1:10">
      <c r="A382" s="178">
        <v>30</v>
      </c>
      <c r="B382" s="178" t="s">
        <v>360</v>
      </c>
      <c r="C382" s="178">
        <v>14180747.4</v>
      </c>
      <c r="D382" s="178">
        <v>0</v>
      </c>
      <c r="E382" s="178">
        <v>14180747.4</v>
      </c>
      <c r="F382" s="178">
        <v>0</v>
      </c>
      <c r="G382" s="178">
        <v>0</v>
      </c>
      <c r="H382" s="178">
        <v>14180747.4</v>
      </c>
      <c r="I382" s="178">
        <v>14180747.4</v>
      </c>
      <c r="J382" s="178" t="s">
        <v>497</v>
      </c>
    </row>
    <row r="383" spans="1:10">
      <c r="A383" s="178">
        <v>40</v>
      </c>
      <c r="B383" s="178" t="s">
        <v>266</v>
      </c>
      <c r="C383" s="178">
        <v>2218671.03</v>
      </c>
      <c r="D383" s="178">
        <v>0</v>
      </c>
      <c r="E383" s="178">
        <v>2218671.03</v>
      </c>
      <c r="F383" s="178">
        <v>15000.01</v>
      </c>
      <c r="G383" s="178">
        <v>15000.01</v>
      </c>
      <c r="H383" s="178">
        <v>2203671.02</v>
      </c>
      <c r="I383" s="178">
        <v>2203671.02</v>
      </c>
      <c r="J383" s="178" t="s">
        <v>497</v>
      </c>
    </row>
    <row r="384" spans="1:10">
      <c r="A384" s="178">
        <v>50</v>
      </c>
      <c r="B384" s="178" t="s">
        <v>267</v>
      </c>
      <c r="C384" s="178">
        <v>0</v>
      </c>
      <c r="D384" s="178">
        <v>0</v>
      </c>
      <c r="E384" s="178">
        <v>0</v>
      </c>
      <c r="F384" s="178">
        <v>0</v>
      </c>
      <c r="G384" s="178">
        <v>0</v>
      </c>
      <c r="H384" s="178">
        <v>0</v>
      </c>
      <c r="I384" s="178">
        <v>0</v>
      </c>
      <c r="J384" s="178" t="s">
        <v>497</v>
      </c>
    </row>
    <row r="385" spans="1:10">
      <c r="A385" s="178">
        <v>60</v>
      </c>
      <c r="B385" s="178" t="s">
        <v>268</v>
      </c>
      <c r="C385" s="178">
        <v>1155393.71</v>
      </c>
      <c r="D385" s="178">
        <v>0</v>
      </c>
      <c r="E385" s="178">
        <v>1155393.71</v>
      </c>
      <c r="F385" s="178">
        <v>0</v>
      </c>
      <c r="G385" s="178">
        <v>0</v>
      </c>
      <c r="H385" s="178">
        <v>1155393.71</v>
      </c>
      <c r="I385" s="178">
        <v>1155393.71</v>
      </c>
      <c r="J385" s="178" t="s">
        <v>497</v>
      </c>
    </row>
    <row r="386" spans="1:10">
      <c r="A386" s="178">
        <v>70</v>
      </c>
      <c r="B386" s="178" t="s">
        <v>269</v>
      </c>
      <c r="C386" s="178">
        <v>2196408.34</v>
      </c>
      <c r="D386" s="178">
        <v>0</v>
      </c>
      <c r="E386" s="178">
        <v>2196408.34</v>
      </c>
      <c r="F386" s="178">
        <v>0</v>
      </c>
      <c r="G386" s="178">
        <v>0</v>
      </c>
      <c r="H386" s="178">
        <v>2196408.34</v>
      </c>
      <c r="I386" s="178">
        <v>2196408.34</v>
      </c>
      <c r="J386" s="178" t="s">
        <v>497</v>
      </c>
    </row>
    <row r="387" spans="1:10">
      <c r="A387" s="178">
        <v>80</v>
      </c>
      <c r="B387" s="178" t="s">
        <v>560</v>
      </c>
      <c r="C387" s="178">
        <v>-25802.52</v>
      </c>
      <c r="D387" s="178">
        <v>0</v>
      </c>
      <c r="E387" s="178">
        <v>-25802.52</v>
      </c>
      <c r="F387" s="178">
        <v>-25802.52</v>
      </c>
      <c r="G387" s="178">
        <v>-25802.52</v>
      </c>
      <c r="H387" s="178">
        <v>0</v>
      </c>
      <c r="I387" s="178">
        <v>0</v>
      </c>
      <c r="J387" s="178" t="s">
        <v>497</v>
      </c>
    </row>
    <row r="388" spans="1:10">
      <c r="A388" s="178">
        <v>100</v>
      </c>
      <c r="B388" s="178" t="s">
        <v>547</v>
      </c>
      <c r="C388" s="178">
        <v>19709132.97</v>
      </c>
      <c r="D388" s="178">
        <v>0</v>
      </c>
      <c r="E388" s="178">
        <v>19709132.97</v>
      </c>
      <c r="F388" s="178">
        <v>-34952.55</v>
      </c>
      <c r="G388" s="178">
        <v>-34952.55</v>
      </c>
      <c r="H388" s="178">
        <v>19744085.52</v>
      </c>
      <c r="I388" s="178">
        <v>19744085.52</v>
      </c>
      <c r="J388" s="178" t="s">
        <v>497</v>
      </c>
    </row>
    <row r="389" spans="1:10">
      <c r="A389" s="178">
        <v>110</v>
      </c>
      <c r="B389" s="178" t="s">
        <v>548</v>
      </c>
      <c r="C389" s="178">
        <v>0</v>
      </c>
      <c r="D389" s="178">
        <v>0</v>
      </c>
      <c r="E389" s="178">
        <v>0</v>
      </c>
      <c r="F389" s="178">
        <v>0</v>
      </c>
      <c r="G389" s="178">
        <v>0</v>
      </c>
      <c r="H389" s="178">
        <v>0</v>
      </c>
      <c r="I389" s="178">
        <v>0</v>
      </c>
      <c r="J389" s="178" t="s">
        <v>497</v>
      </c>
    </row>
    <row r="390" spans="1:10">
      <c r="A390" s="178">
        <v>120</v>
      </c>
      <c r="B390" s="178" t="s">
        <v>322</v>
      </c>
      <c r="C390" s="178">
        <v>20</v>
      </c>
      <c r="D390" s="178">
        <v>0</v>
      </c>
      <c r="E390" s="178">
        <v>20</v>
      </c>
      <c r="F390" s="178">
        <v>0</v>
      </c>
      <c r="G390" s="178">
        <v>0</v>
      </c>
      <c r="H390" s="178">
        <v>20</v>
      </c>
      <c r="I390" s="178">
        <v>20</v>
      </c>
      <c r="J390" s="178" t="s">
        <v>497</v>
      </c>
    </row>
    <row r="391" spans="1:10">
      <c r="A391" s="178">
        <v>130</v>
      </c>
      <c r="B391" s="178" t="s">
        <v>282</v>
      </c>
      <c r="C391" s="178">
        <v>14787025.76</v>
      </c>
      <c r="D391" s="178">
        <v>0</v>
      </c>
      <c r="E391" s="178">
        <v>14787025.76</v>
      </c>
      <c r="F391" s="178">
        <v>0</v>
      </c>
      <c r="G391" s="178">
        <v>0</v>
      </c>
      <c r="H391" s="178">
        <v>14787025.76</v>
      </c>
      <c r="I391" s="178">
        <v>14787025.76</v>
      </c>
      <c r="J391" s="178" t="s">
        <v>497</v>
      </c>
    </row>
    <row r="392" spans="1:10">
      <c r="A392" s="178">
        <v>140</v>
      </c>
      <c r="B392" s="178" t="s">
        <v>364</v>
      </c>
      <c r="C392" s="178">
        <v>2633682.62</v>
      </c>
      <c r="D392" s="178">
        <v>0</v>
      </c>
      <c r="E392" s="178">
        <v>2633682.62</v>
      </c>
      <c r="F392" s="178">
        <v>0</v>
      </c>
      <c r="G392" s="178">
        <v>0</v>
      </c>
      <c r="H392" s="178">
        <v>2633682.62</v>
      </c>
      <c r="I392" s="178">
        <v>2633682.62</v>
      </c>
      <c r="J392" s="178" t="s">
        <v>497</v>
      </c>
    </row>
    <row r="393" spans="1:10">
      <c r="A393" s="178">
        <v>150</v>
      </c>
      <c r="B393" s="178" t="s">
        <v>285</v>
      </c>
      <c r="C393" s="178">
        <v>1734026.56</v>
      </c>
      <c r="D393" s="178">
        <v>0</v>
      </c>
      <c r="E393" s="178">
        <v>1734026.56</v>
      </c>
      <c r="F393" s="178">
        <v>0</v>
      </c>
      <c r="G393" s="178">
        <v>0</v>
      </c>
      <c r="H393" s="178">
        <v>1734026.56</v>
      </c>
      <c r="I393" s="178">
        <v>1734026.56</v>
      </c>
      <c r="J393" s="178" t="s">
        <v>497</v>
      </c>
    </row>
    <row r="394" spans="1:10">
      <c r="A394" s="178">
        <v>160</v>
      </c>
      <c r="B394" s="178" t="s">
        <v>284</v>
      </c>
      <c r="C394" s="178">
        <v>8596028.16</v>
      </c>
      <c r="D394" s="178">
        <v>0</v>
      </c>
      <c r="E394" s="178">
        <v>8596028.16</v>
      </c>
      <c r="F394" s="178">
        <v>0</v>
      </c>
      <c r="G394" s="178">
        <v>0</v>
      </c>
      <c r="H394" s="178">
        <v>8596028.16</v>
      </c>
      <c r="I394" s="178">
        <v>8596028.16</v>
      </c>
      <c r="J394" s="178" t="s">
        <v>497</v>
      </c>
    </row>
    <row r="395" spans="1:10">
      <c r="A395" s="178">
        <v>170</v>
      </c>
      <c r="B395" s="178" t="s">
        <v>283</v>
      </c>
      <c r="C395" s="178">
        <v>2514038.74</v>
      </c>
      <c r="D395" s="178">
        <v>0</v>
      </c>
      <c r="E395" s="178">
        <v>2514038.74</v>
      </c>
      <c r="F395" s="178">
        <v>0</v>
      </c>
      <c r="G395" s="178">
        <v>0</v>
      </c>
      <c r="H395" s="178">
        <v>2514038.74</v>
      </c>
      <c r="I395" s="178">
        <v>2514038.74</v>
      </c>
      <c r="J395" s="178" t="s">
        <v>497</v>
      </c>
    </row>
    <row r="396" spans="1:10">
      <c r="A396" s="178">
        <v>180</v>
      </c>
      <c r="B396" s="178" t="s">
        <v>366</v>
      </c>
      <c r="C396" s="178">
        <v>0</v>
      </c>
      <c r="D396" s="178">
        <v>0</v>
      </c>
      <c r="E396" s="178">
        <v>0</v>
      </c>
      <c r="F396" s="178">
        <v>0</v>
      </c>
      <c r="G396" s="178">
        <v>0</v>
      </c>
      <c r="H396" s="178">
        <v>0</v>
      </c>
      <c r="I396" s="178">
        <v>0</v>
      </c>
      <c r="J396" s="178" t="s">
        <v>497</v>
      </c>
    </row>
    <row r="397" spans="1:10">
      <c r="A397" s="178">
        <v>190</v>
      </c>
      <c r="B397" s="178" t="s">
        <v>367</v>
      </c>
      <c r="C397" s="178">
        <v>-30264821.86</v>
      </c>
      <c r="D397" s="178">
        <v>0</v>
      </c>
      <c r="E397" s="178">
        <v>-30264821.86</v>
      </c>
      <c r="F397" s="178">
        <v>0</v>
      </c>
      <c r="G397" s="178">
        <v>0</v>
      </c>
      <c r="H397" s="178">
        <v>-30264821.86</v>
      </c>
      <c r="I397" s="178">
        <v>-30264821.86</v>
      </c>
      <c r="J397" s="178" t="s">
        <v>497</v>
      </c>
    </row>
    <row r="398" spans="1:10">
      <c r="A398" s="178">
        <v>200</v>
      </c>
      <c r="B398" s="178" t="s">
        <v>368</v>
      </c>
      <c r="C398" s="178">
        <v>-0.02</v>
      </c>
      <c r="D398" s="178">
        <v>0</v>
      </c>
      <c r="E398" s="178">
        <v>-0.02</v>
      </c>
      <c r="F398" s="178">
        <v>0</v>
      </c>
      <c r="G398" s="178">
        <v>0</v>
      </c>
      <c r="H398" s="178">
        <v>-0.02</v>
      </c>
      <c r="I398" s="178">
        <v>-0.02</v>
      </c>
      <c r="J398" s="178" t="s">
        <v>497</v>
      </c>
    </row>
    <row r="399" spans="1:10">
      <c r="A399" s="178">
        <v>210</v>
      </c>
      <c r="B399" s="178" t="s">
        <v>549</v>
      </c>
      <c r="C399" s="178">
        <v>0</v>
      </c>
      <c r="D399" s="178">
        <v>0</v>
      </c>
      <c r="E399" s="178">
        <v>0</v>
      </c>
      <c r="F399" s="178">
        <v>0</v>
      </c>
      <c r="G399" s="178">
        <v>0</v>
      </c>
      <c r="H399" s="178">
        <v>0</v>
      </c>
      <c r="I399" s="178">
        <v>0</v>
      </c>
      <c r="J399" s="178" t="s">
        <v>497</v>
      </c>
    </row>
    <row r="400" spans="1:10">
      <c r="A400" s="178">
        <v>220</v>
      </c>
      <c r="B400" s="178" t="s">
        <v>370</v>
      </c>
      <c r="C400" s="178">
        <v>0</v>
      </c>
      <c r="D400" s="178">
        <v>0</v>
      </c>
      <c r="E400" s="178">
        <v>0</v>
      </c>
      <c r="F400" s="178">
        <v>0</v>
      </c>
      <c r="G400" s="178">
        <v>0</v>
      </c>
      <c r="H400" s="178">
        <v>0</v>
      </c>
      <c r="I400" s="178">
        <v>0</v>
      </c>
      <c r="J400" s="178" t="s">
        <v>497</v>
      </c>
    </row>
    <row r="401" spans="1:10">
      <c r="A401" s="178">
        <v>230</v>
      </c>
      <c r="B401" s="178" t="s">
        <v>371</v>
      </c>
      <c r="C401" s="178">
        <v>0</v>
      </c>
      <c r="D401" s="178">
        <v>0</v>
      </c>
      <c r="E401" s="178">
        <v>0</v>
      </c>
      <c r="F401" s="178">
        <v>0</v>
      </c>
      <c r="G401" s="178">
        <v>0</v>
      </c>
      <c r="H401" s="178">
        <v>0</v>
      </c>
      <c r="I401" s="178">
        <v>0</v>
      </c>
      <c r="J401" s="178" t="s">
        <v>497</v>
      </c>
    </row>
    <row r="402" spans="1:10">
      <c r="A402" s="178">
        <v>240</v>
      </c>
      <c r="B402" s="178" t="s">
        <v>372</v>
      </c>
      <c r="C402" s="178">
        <v>0</v>
      </c>
      <c r="D402" s="178">
        <v>0</v>
      </c>
      <c r="E402" s="178">
        <v>0</v>
      </c>
      <c r="F402" s="178">
        <v>0</v>
      </c>
      <c r="G402" s="178">
        <v>0</v>
      </c>
      <c r="H402" s="178">
        <v>0</v>
      </c>
      <c r="I402" s="178">
        <v>0</v>
      </c>
      <c r="J402" s="178" t="s">
        <v>497</v>
      </c>
    </row>
    <row r="403" spans="1:10">
      <c r="A403" s="178">
        <v>250</v>
      </c>
      <c r="B403" s="178" t="s">
        <v>373</v>
      </c>
      <c r="C403" s="178">
        <v>0</v>
      </c>
      <c r="D403" s="178">
        <v>0</v>
      </c>
      <c r="E403" s="178">
        <v>0</v>
      </c>
      <c r="F403" s="178">
        <v>0</v>
      </c>
      <c r="G403" s="178">
        <v>0</v>
      </c>
      <c r="H403" s="178">
        <v>0</v>
      </c>
      <c r="I403" s="178">
        <v>0</v>
      </c>
      <c r="J403" s="178" t="s">
        <v>497</v>
      </c>
    </row>
    <row r="404" spans="1:10">
      <c r="A404" s="178">
        <v>260</v>
      </c>
      <c r="B404" s="178" t="s">
        <v>374</v>
      </c>
      <c r="C404" s="178">
        <v>0</v>
      </c>
      <c r="D404" s="178">
        <v>0</v>
      </c>
      <c r="E404" s="178">
        <v>0</v>
      </c>
      <c r="F404" s="178">
        <v>0</v>
      </c>
      <c r="G404" s="178">
        <v>0</v>
      </c>
      <c r="H404" s="178">
        <v>0</v>
      </c>
      <c r="I404" s="178">
        <v>0</v>
      </c>
      <c r="J404" s="178" t="s">
        <v>497</v>
      </c>
    </row>
    <row r="405" spans="1:10">
      <c r="A405" s="178">
        <v>270</v>
      </c>
      <c r="B405" s="178" t="s">
        <v>375</v>
      </c>
      <c r="C405" s="178">
        <v>0</v>
      </c>
      <c r="D405" s="178">
        <v>0</v>
      </c>
      <c r="E405" s="178">
        <v>0</v>
      </c>
      <c r="F405" s="178">
        <v>0</v>
      </c>
      <c r="G405" s="178">
        <v>0</v>
      </c>
      <c r="H405" s="178">
        <v>0</v>
      </c>
      <c r="I405" s="178">
        <v>0</v>
      </c>
      <c r="J405" s="178" t="s">
        <v>497</v>
      </c>
    </row>
    <row r="406" spans="1:10">
      <c r="A406" s="178">
        <v>280</v>
      </c>
      <c r="B406" s="178" t="s">
        <v>550</v>
      </c>
      <c r="C406" s="178">
        <v>0</v>
      </c>
      <c r="D406" s="178">
        <v>0</v>
      </c>
      <c r="E406" s="178">
        <v>0</v>
      </c>
      <c r="F406" s="178">
        <v>0</v>
      </c>
      <c r="G406" s="178">
        <v>0</v>
      </c>
      <c r="H406" s="178">
        <v>0</v>
      </c>
      <c r="I406" s="178">
        <v>0</v>
      </c>
      <c r="J406" s="178" t="s">
        <v>497</v>
      </c>
    </row>
    <row r="407" spans="1:10">
      <c r="A407" s="178">
        <v>400</v>
      </c>
      <c r="B407" s="178" t="s">
        <v>377</v>
      </c>
      <c r="C407" s="178">
        <v>19709132.95</v>
      </c>
      <c r="D407" s="178">
        <v>0</v>
      </c>
      <c r="E407" s="178">
        <v>19709132.95</v>
      </c>
      <c r="F407" s="178">
        <v>-34952.55</v>
      </c>
      <c r="G407" s="178">
        <v>-34952.55</v>
      </c>
      <c r="H407" s="178">
        <v>19744085.5</v>
      </c>
      <c r="I407" s="178">
        <v>19744085.5</v>
      </c>
      <c r="J407" s="178" t="s">
        <v>497</v>
      </c>
    </row>
    <row r="408" spans="1:10">
      <c r="A408" s="178">
        <v>410</v>
      </c>
      <c r="B408" s="178" t="s">
        <v>551</v>
      </c>
      <c r="C408" s="178">
        <v>0</v>
      </c>
      <c r="D408" s="178">
        <v>0</v>
      </c>
      <c r="E408" s="178">
        <v>0</v>
      </c>
      <c r="F408" s="178">
        <v>0</v>
      </c>
      <c r="G408" s="178">
        <v>0</v>
      </c>
      <c r="H408" s="178">
        <v>0</v>
      </c>
      <c r="I408" s="178">
        <v>0</v>
      </c>
      <c r="J408" s="178" t="s">
        <v>497</v>
      </c>
    </row>
    <row r="409" spans="1:10">
      <c r="A409" s="178">
        <v>420</v>
      </c>
      <c r="B409" s="178" t="s">
        <v>270</v>
      </c>
      <c r="C409" s="178">
        <v>13201002.15</v>
      </c>
      <c r="D409" s="178">
        <v>0</v>
      </c>
      <c r="E409" s="178">
        <v>13201002.15</v>
      </c>
      <c r="F409" s="178">
        <v>36880.49</v>
      </c>
      <c r="G409" s="178">
        <v>36880.49</v>
      </c>
      <c r="H409" s="178">
        <v>13164121.66</v>
      </c>
      <c r="I409" s="178">
        <v>13164121.66</v>
      </c>
      <c r="J409" s="178" t="s">
        <v>497</v>
      </c>
    </row>
    <row r="410" spans="1:10">
      <c r="A410" s="178">
        <v>430</v>
      </c>
      <c r="B410" s="178" t="s">
        <v>379</v>
      </c>
      <c r="C410" s="178">
        <v>34.72</v>
      </c>
      <c r="D410" s="178">
        <v>0</v>
      </c>
      <c r="E410" s="178">
        <v>34.72</v>
      </c>
      <c r="F410" s="178">
        <v>34.72</v>
      </c>
      <c r="G410" s="178">
        <v>34.72</v>
      </c>
      <c r="H410" s="178">
        <v>0</v>
      </c>
      <c r="I410" s="178">
        <v>0</v>
      </c>
      <c r="J410" s="178" t="s">
        <v>497</v>
      </c>
    </row>
    <row r="411" spans="1:10">
      <c r="A411" s="178">
        <v>440</v>
      </c>
      <c r="B411" s="178" t="s">
        <v>380</v>
      </c>
      <c r="C411" s="178">
        <v>0</v>
      </c>
      <c r="D411" s="178">
        <v>0</v>
      </c>
      <c r="E411" s="178">
        <v>0</v>
      </c>
      <c r="F411" s="178">
        <v>0</v>
      </c>
      <c r="G411" s="178">
        <v>0</v>
      </c>
      <c r="H411" s="178">
        <v>0</v>
      </c>
      <c r="I411" s="178">
        <v>0</v>
      </c>
      <c r="J411" s="178" t="s">
        <v>497</v>
      </c>
    </row>
    <row r="412" spans="1:10">
      <c r="A412" s="178">
        <v>450</v>
      </c>
      <c r="B412" s="178" t="s">
        <v>381</v>
      </c>
      <c r="C412" s="178">
        <v>-18236.74</v>
      </c>
      <c r="D412" s="178">
        <v>0</v>
      </c>
      <c r="E412" s="178">
        <v>-18236.74</v>
      </c>
      <c r="F412" s="178">
        <v>-18236.6</v>
      </c>
      <c r="G412" s="178">
        <v>-18236.6</v>
      </c>
      <c r="H412" s="178">
        <v>-0.14</v>
      </c>
      <c r="I412" s="178">
        <v>-0.14</v>
      </c>
      <c r="J412" s="178" t="s">
        <v>497</v>
      </c>
    </row>
    <row r="413" spans="1:10">
      <c r="A413" s="178">
        <v>460</v>
      </c>
      <c r="B413" s="178" t="s">
        <v>553</v>
      </c>
      <c r="C413" s="178">
        <v>0</v>
      </c>
      <c r="D413" s="178">
        <v>0</v>
      </c>
      <c r="E413" s="178">
        <v>0</v>
      </c>
      <c r="F413" s="178">
        <v>0</v>
      </c>
      <c r="G413" s="178">
        <v>0</v>
      </c>
      <c r="H413" s="178">
        <v>0</v>
      </c>
      <c r="I413" s="178">
        <v>0</v>
      </c>
      <c r="J413" s="178" t="s">
        <v>497</v>
      </c>
    </row>
    <row r="414" spans="1:10">
      <c r="A414" s="178">
        <v>500</v>
      </c>
      <c r="B414" s="178" t="s">
        <v>383</v>
      </c>
      <c r="C414" s="178">
        <v>13182800.13</v>
      </c>
      <c r="D414" s="178">
        <v>0</v>
      </c>
      <c r="E414" s="178">
        <v>13182800.13</v>
      </c>
      <c r="F414" s="178">
        <v>18678.61</v>
      </c>
      <c r="G414" s="178">
        <v>18678.61</v>
      </c>
      <c r="H414" s="178">
        <v>13164121.52</v>
      </c>
      <c r="I414" s="178">
        <v>13164121.52</v>
      </c>
      <c r="J414" s="178" t="s">
        <v>497</v>
      </c>
    </row>
    <row r="415" spans="1:10">
      <c r="A415" s="178">
        <v>510</v>
      </c>
      <c r="B415" s="178" t="s">
        <v>554</v>
      </c>
      <c r="C415" s="178">
        <v>0</v>
      </c>
      <c r="D415" s="178">
        <v>0</v>
      </c>
      <c r="E415" s="178">
        <v>0</v>
      </c>
      <c r="F415" s="178">
        <v>0</v>
      </c>
      <c r="G415" s="178">
        <v>0</v>
      </c>
      <c r="H415" s="178">
        <v>0</v>
      </c>
      <c r="I415" s="178">
        <v>0</v>
      </c>
      <c r="J415" s="178" t="s">
        <v>497</v>
      </c>
    </row>
    <row r="416" spans="1:10">
      <c r="A416" s="178">
        <v>520</v>
      </c>
      <c r="B416" s="178" t="s">
        <v>385</v>
      </c>
      <c r="C416" s="178">
        <v>0</v>
      </c>
      <c r="D416" s="178">
        <v>0</v>
      </c>
      <c r="E416" s="178">
        <v>0</v>
      </c>
      <c r="F416" s="178">
        <v>0</v>
      </c>
      <c r="G416" s="178">
        <v>0</v>
      </c>
      <c r="H416" s="178">
        <v>0</v>
      </c>
      <c r="I416" s="178">
        <v>0</v>
      </c>
      <c r="J416" s="178" t="s">
        <v>497</v>
      </c>
    </row>
    <row r="417" spans="1:10">
      <c r="A417" s="178">
        <v>530</v>
      </c>
      <c r="B417" s="178" t="s">
        <v>386</v>
      </c>
      <c r="C417" s="178">
        <v>0</v>
      </c>
      <c r="D417" s="178">
        <v>0</v>
      </c>
      <c r="E417" s="178">
        <v>0</v>
      </c>
      <c r="F417" s="178">
        <v>0</v>
      </c>
      <c r="G417" s="178">
        <v>0</v>
      </c>
      <c r="H417" s="178">
        <v>0</v>
      </c>
      <c r="I417" s="178">
        <v>0</v>
      </c>
      <c r="J417" s="178" t="s">
        <v>497</v>
      </c>
    </row>
    <row r="418" spans="1:10">
      <c r="A418" s="178">
        <v>540</v>
      </c>
      <c r="B418" s="178" t="s">
        <v>387</v>
      </c>
      <c r="C418" s="178">
        <v>0</v>
      </c>
      <c r="D418" s="178">
        <v>0</v>
      </c>
      <c r="E418" s="178">
        <v>0</v>
      </c>
      <c r="F418" s="178">
        <v>0</v>
      </c>
      <c r="G418" s="178">
        <v>0</v>
      </c>
      <c r="H418" s="178">
        <v>0</v>
      </c>
      <c r="I418" s="178">
        <v>0</v>
      </c>
      <c r="J418" s="178" t="s">
        <v>497</v>
      </c>
    </row>
    <row r="419" spans="1:10">
      <c r="A419" s="178">
        <v>600</v>
      </c>
      <c r="B419" s="178" t="s">
        <v>388</v>
      </c>
      <c r="C419" s="178">
        <v>0</v>
      </c>
      <c r="D419" s="178">
        <v>0</v>
      </c>
      <c r="E419" s="178">
        <v>0</v>
      </c>
      <c r="F419" s="178">
        <v>0</v>
      </c>
      <c r="G419" s="178">
        <v>0</v>
      </c>
      <c r="H419" s="178">
        <v>0</v>
      </c>
      <c r="I419" s="178">
        <v>0</v>
      </c>
      <c r="J419" s="178" t="s">
        <v>497</v>
      </c>
    </row>
    <row r="420" spans="1:10">
      <c r="A420" s="178">
        <v>610</v>
      </c>
      <c r="B420" s="178" t="s">
        <v>556</v>
      </c>
      <c r="C420" s="178">
        <v>0</v>
      </c>
      <c r="D420" s="178">
        <v>0</v>
      </c>
      <c r="E420" s="178">
        <v>0</v>
      </c>
      <c r="F420" s="178">
        <v>0</v>
      </c>
      <c r="G420" s="178">
        <v>0</v>
      </c>
      <c r="H420" s="178">
        <v>0</v>
      </c>
      <c r="I420" s="178">
        <v>0</v>
      </c>
      <c r="J420" s="178" t="s">
        <v>497</v>
      </c>
    </row>
    <row r="421" spans="1:10">
      <c r="A421" s="178">
        <v>620</v>
      </c>
      <c r="B421" s="178" t="s">
        <v>390</v>
      </c>
      <c r="C421" s="178">
        <v>0</v>
      </c>
      <c r="D421" s="178">
        <v>0</v>
      </c>
      <c r="E421" s="178">
        <v>0</v>
      </c>
      <c r="F421" s="178">
        <v>0</v>
      </c>
      <c r="G421" s="178">
        <v>0</v>
      </c>
      <c r="H421" s="178">
        <v>0</v>
      </c>
      <c r="I421" s="178">
        <v>0</v>
      </c>
      <c r="J421" s="178" t="s">
        <v>497</v>
      </c>
    </row>
    <row r="422" spans="1:10">
      <c r="A422" s="178">
        <v>700</v>
      </c>
      <c r="B422" s="178" t="s">
        <v>557</v>
      </c>
      <c r="C422" s="178">
        <v>0</v>
      </c>
      <c r="D422" s="178">
        <v>0</v>
      </c>
      <c r="E422" s="178">
        <v>0</v>
      </c>
      <c r="F422" s="178">
        <v>0</v>
      </c>
      <c r="G422" s="178">
        <v>0</v>
      </c>
      <c r="H422" s="178">
        <v>0</v>
      </c>
      <c r="I422" s="178">
        <v>0</v>
      </c>
      <c r="J422" s="178" t="s">
        <v>497</v>
      </c>
    </row>
    <row r="423" spans="1:10">
      <c r="A423" s="178">
        <v>710</v>
      </c>
      <c r="B423" s="178" t="s">
        <v>558</v>
      </c>
      <c r="C423" s="178">
        <v>0</v>
      </c>
      <c r="D423" s="178">
        <v>0</v>
      </c>
      <c r="E423" s="178">
        <v>0</v>
      </c>
      <c r="F423" s="178">
        <v>0</v>
      </c>
      <c r="G423" s="178">
        <v>0</v>
      </c>
      <c r="H423" s="178">
        <v>0</v>
      </c>
      <c r="I423" s="178">
        <v>0</v>
      </c>
      <c r="J423" s="178" t="s">
        <v>497</v>
      </c>
    </row>
    <row r="424" spans="1:10">
      <c r="A424" s="178">
        <v>720</v>
      </c>
      <c r="B424" s="178" t="s">
        <v>276</v>
      </c>
      <c r="C424" s="178">
        <v>29232882</v>
      </c>
      <c r="D424" s="178">
        <v>0</v>
      </c>
      <c r="E424" s="178">
        <v>29232882</v>
      </c>
      <c r="F424" s="178">
        <v>0</v>
      </c>
      <c r="G424" s="178">
        <v>0</v>
      </c>
      <c r="H424" s="178">
        <v>29232882</v>
      </c>
      <c r="I424" s="178">
        <v>29232882</v>
      </c>
      <c r="J424" s="178" t="s">
        <v>497</v>
      </c>
    </row>
    <row r="425" spans="1:10">
      <c r="A425" s="178">
        <v>730</v>
      </c>
      <c r="B425" s="178" t="s">
        <v>393</v>
      </c>
      <c r="C425" s="178">
        <v>57195.99</v>
      </c>
      <c r="D425" s="178">
        <v>0</v>
      </c>
      <c r="E425" s="178">
        <v>57195.99</v>
      </c>
      <c r="F425" s="178">
        <v>0</v>
      </c>
      <c r="G425" s="178">
        <v>0</v>
      </c>
      <c r="H425" s="178">
        <v>57195.99</v>
      </c>
      <c r="I425" s="178">
        <v>57195.99</v>
      </c>
      <c r="J425" s="178" t="s">
        <v>497</v>
      </c>
    </row>
    <row r="426" spans="1:10">
      <c r="A426" s="178">
        <v>740</v>
      </c>
      <c r="B426" s="178" t="s">
        <v>394</v>
      </c>
      <c r="C426" s="178">
        <v>-127724.93</v>
      </c>
      <c r="D426" s="178">
        <v>0</v>
      </c>
      <c r="E426" s="178">
        <v>-127724.93</v>
      </c>
      <c r="F426" s="178">
        <v>0</v>
      </c>
      <c r="G426" s="178">
        <v>0</v>
      </c>
      <c r="H426" s="178">
        <v>-127724.93</v>
      </c>
      <c r="I426" s="178">
        <v>-127724.93</v>
      </c>
      <c r="J426" s="178" t="s">
        <v>497</v>
      </c>
    </row>
    <row r="427" spans="1:10">
      <c r="A427" s="178">
        <v>750</v>
      </c>
      <c r="B427" s="178" t="s">
        <v>395</v>
      </c>
      <c r="C427" s="178">
        <v>-53631.16</v>
      </c>
      <c r="D427" s="178">
        <v>0</v>
      </c>
      <c r="E427" s="178">
        <v>-53631.16</v>
      </c>
      <c r="F427" s="178">
        <v>-53631.16</v>
      </c>
      <c r="G427" s="178">
        <v>-53631.16</v>
      </c>
      <c r="H427" s="178">
        <v>-22582389.08</v>
      </c>
      <c r="I427" s="178">
        <v>0</v>
      </c>
      <c r="J427" s="178" t="s">
        <v>497</v>
      </c>
    </row>
    <row r="428" spans="1:10">
      <c r="A428" s="178">
        <v>760</v>
      </c>
      <c r="B428" s="178" t="s">
        <v>396</v>
      </c>
      <c r="C428" s="178">
        <v>0</v>
      </c>
      <c r="D428" s="178">
        <v>0</v>
      </c>
      <c r="E428" s="178">
        <v>0</v>
      </c>
      <c r="F428" s="178">
        <v>0</v>
      </c>
      <c r="G428" s="178">
        <v>0</v>
      </c>
      <c r="H428" s="178">
        <v>0</v>
      </c>
      <c r="I428" s="178">
        <v>0</v>
      </c>
      <c r="J428" s="178" t="s">
        <v>497</v>
      </c>
    </row>
    <row r="429" spans="1:10">
      <c r="A429" s="178">
        <v>770</v>
      </c>
      <c r="B429" s="178" t="s">
        <v>397</v>
      </c>
      <c r="C429" s="178">
        <v>0</v>
      </c>
      <c r="D429" s="178">
        <v>0</v>
      </c>
      <c r="E429" s="178">
        <v>0</v>
      </c>
      <c r="F429" s="178">
        <v>0</v>
      </c>
      <c r="G429" s="178">
        <v>0</v>
      </c>
      <c r="H429" s="178">
        <v>0</v>
      </c>
      <c r="I429" s="178">
        <v>0</v>
      </c>
      <c r="J429" s="178" t="s">
        <v>497</v>
      </c>
    </row>
    <row r="430" spans="1:10">
      <c r="A430" s="178">
        <v>800</v>
      </c>
      <c r="B430" s="178" t="s">
        <v>398</v>
      </c>
      <c r="C430" s="178">
        <v>29108721.9</v>
      </c>
      <c r="D430" s="178">
        <v>0</v>
      </c>
      <c r="E430" s="178">
        <v>29108721.9</v>
      </c>
      <c r="F430" s="178">
        <v>-53631.16</v>
      </c>
      <c r="G430" s="178">
        <v>-53631.16</v>
      </c>
      <c r="H430" s="178">
        <v>6579963.98</v>
      </c>
      <c r="I430" s="178">
        <v>29162353.06</v>
      </c>
      <c r="J430" s="178" t="s">
        <v>497</v>
      </c>
    </row>
    <row r="431" spans="1:10">
      <c r="A431" s="178">
        <v>900</v>
      </c>
      <c r="B431" s="178" t="s">
        <v>399</v>
      </c>
      <c r="C431" s="178">
        <v>42291522.03</v>
      </c>
      <c r="D431" s="178">
        <v>0</v>
      </c>
      <c r="E431" s="178">
        <v>42291522.03</v>
      </c>
      <c r="F431" s="178">
        <v>-34952.55</v>
      </c>
      <c r="G431" s="178">
        <v>-34952.55</v>
      </c>
      <c r="H431" s="178">
        <v>19744085.5</v>
      </c>
      <c r="I431" s="178">
        <v>42326474.58</v>
      </c>
      <c r="J431" s="178" t="s">
        <v>497</v>
      </c>
    </row>
    <row r="432" spans="1:10">
      <c r="A432" s="178">
        <v>1000</v>
      </c>
      <c r="B432" s="178" t="s">
        <v>559</v>
      </c>
      <c r="C432" s="178">
        <v>-22582389.08</v>
      </c>
      <c r="D432" s="178">
        <v>0</v>
      </c>
      <c r="E432" s="178">
        <v>-22582389.08</v>
      </c>
      <c r="F432" s="178">
        <v>0</v>
      </c>
      <c r="G432" s="178">
        <v>0</v>
      </c>
      <c r="H432" s="178">
        <v>0</v>
      </c>
      <c r="I432" s="178">
        <v>-22582389.08</v>
      </c>
      <c r="J432" s="178" t="s">
        <v>497</v>
      </c>
    </row>
    <row r="433" spans="1:10">
      <c r="A433" s="178" t="s">
        <v>441</v>
      </c>
      <c r="B433" s="178" t="s">
        <v>402</v>
      </c>
      <c r="C433" s="178" t="s">
        <v>538</v>
      </c>
      <c r="D433" s="178" t="s">
        <v>539</v>
      </c>
      <c r="E433" s="178" t="s">
        <v>540</v>
      </c>
      <c r="F433" s="178" t="s">
        <v>541</v>
      </c>
      <c r="G433" s="178" t="s">
        <v>542</v>
      </c>
      <c r="H433" s="178" t="s">
        <v>543</v>
      </c>
      <c r="I433" s="178" t="s">
        <v>544</v>
      </c>
      <c r="J433" s="178" t="s">
        <v>405</v>
      </c>
    </row>
    <row r="434" spans="1:10">
      <c r="A434" s="178">
        <v>10</v>
      </c>
      <c r="B434" s="178" t="s">
        <v>545</v>
      </c>
      <c r="C434" s="178">
        <v>0</v>
      </c>
      <c r="D434" s="178">
        <v>0</v>
      </c>
      <c r="E434" s="178">
        <v>0</v>
      </c>
      <c r="F434" s="178">
        <v>0</v>
      </c>
      <c r="G434" s="178">
        <v>0</v>
      </c>
      <c r="H434" s="178">
        <v>0</v>
      </c>
      <c r="I434" s="178">
        <v>0</v>
      </c>
      <c r="J434" s="178" t="s">
        <v>497</v>
      </c>
    </row>
    <row r="435" spans="1:10">
      <c r="A435" s="178">
        <v>20</v>
      </c>
      <c r="B435" s="178" t="s">
        <v>359</v>
      </c>
      <c r="C435" s="178">
        <v>2876.79</v>
      </c>
      <c r="D435" s="178">
        <v>0</v>
      </c>
      <c r="E435" s="178">
        <v>2876.79</v>
      </c>
      <c r="F435" s="178">
        <v>2568.99</v>
      </c>
      <c r="G435" s="178">
        <v>2568.99</v>
      </c>
      <c r="H435" s="178">
        <v>307.8</v>
      </c>
      <c r="I435" s="178">
        <v>307.8</v>
      </c>
      <c r="J435" s="178" t="s">
        <v>497</v>
      </c>
    </row>
    <row r="436" spans="1:10">
      <c r="A436" s="178">
        <v>30</v>
      </c>
      <c r="B436" s="178" t="s">
        <v>360</v>
      </c>
      <c r="C436" s="178">
        <v>0</v>
      </c>
      <c r="D436" s="178">
        <v>0</v>
      </c>
      <c r="E436" s="178">
        <v>0</v>
      </c>
      <c r="F436" s="178">
        <v>0</v>
      </c>
      <c r="G436" s="178">
        <v>0</v>
      </c>
      <c r="H436" s="178">
        <v>0</v>
      </c>
      <c r="I436" s="178">
        <v>0</v>
      </c>
      <c r="J436" s="178" t="s">
        <v>497</v>
      </c>
    </row>
    <row r="437" spans="1:10">
      <c r="A437" s="178">
        <v>40</v>
      </c>
      <c r="B437" s="178" t="s">
        <v>266</v>
      </c>
      <c r="C437" s="178">
        <v>257676.08</v>
      </c>
      <c r="D437" s="178">
        <v>0</v>
      </c>
      <c r="E437" s="178">
        <v>257676.08</v>
      </c>
      <c r="F437" s="178">
        <v>0</v>
      </c>
      <c r="G437" s="178">
        <v>0</v>
      </c>
      <c r="H437" s="178">
        <v>257676.08</v>
      </c>
      <c r="I437" s="178">
        <v>257676.08</v>
      </c>
      <c r="J437" s="178" t="s">
        <v>497</v>
      </c>
    </row>
    <row r="438" spans="1:10">
      <c r="A438" s="178">
        <v>50</v>
      </c>
      <c r="B438" s="178" t="s">
        <v>267</v>
      </c>
      <c r="C438" s="178">
        <v>0</v>
      </c>
      <c r="D438" s="178">
        <v>0</v>
      </c>
      <c r="E438" s="178">
        <v>0</v>
      </c>
      <c r="F438" s="178">
        <v>0</v>
      </c>
      <c r="G438" s="178">
        <v>0</v>
      </c>
      <c r="H438" s="178">
        <v>0</v>
      </c>
      <c r="I438" s="178">
        <v>0</v>
      </c>
      <c r="J438" s="178" t="s">
        <v>497</v>
      </c>
    </row>
    <row r="439" spans="1:10">
      <c r="A439" s="178">
        <v>60</v>
      </c>
      <c r="B439" s="178" t="s">
        <v>268</v>
      </c>
      <c r="C439" s="178">
        <v>790926.23</v>
      </c>
      <c r="D439" s="178">
        <v>0</v>
      </c>
      <c r="E439" s="178">
        <v>790926.23</v>
      </c>
      <c r="F439" s="178">
        <v>0</v>
      </c>
      <c r="G439" s="178">
        <v>0</v>
      </c>
      <c r="H439" s="178">
        <v>790926.23</v>
      </c>
      <c r="I439" s="178">
        <v>790926.23</v>
      </c>
      <c r="J439" s="178" t="s">
        <v>497</v>
      </c>
    </row>
    <row r="440" spans="1:10">
      <c r="A440" s="178">
        <v>70</v>
      </c>
      <c r="B440" s="178" t="s">
        <v>269</v>
      </c>
      <c r="C440" s="178">
        <v>0</v>
      </c>
      <c r="D440" s="178">
        <v>0</v>
      </c>
      <c r="E440" s="178">
        <v>0</v>
      </c>
      <c r="F440" s="178">
        <v>0</v>
      </c>
      <c r="G440" s="178">
        <v>0</v>
      </c>
      <c r="H440" s="178">
        <v>0</v>
      </c>
      <c r="I440" s="178">
        <v>0</v>
      </c>
      <c r="J440" s="178" t="s">
        <v>497</v>
      </c>
    </row>
    <row r="441" spans="1:10">
      <c r="A441" s="178">
        <v>80</v>
      </c>
      <c r="B441" s="178" t="s">
        <v>546</v>
      </c>
      <c r="C441" s="178">
        <v>0</v>
      </c>
      <c r="D441" s="178">
        <v>0</v>
      </c>
      <c r="E441" s="178">
        <v>0</v>
      </c>
      <c r="F441" s="178">
        <v>0</v>
      </c>
      <c r="G441" s="178">
        <v>0</v>
      </c>
      <c r="H441" s="178">
        <v>0</v>
      </c>
      <c r="I441" s="178">
        <v>0</v>
      </c>
      <c r="J441" s="178" t="s">
        <v>497</v>
      </c>
    </row>
    <row r="442" spans="1:10">
      <c r="A442" s="178">
        <v>100</v>
      </c>
      <c r="B442" s="178" t="s">
        <v>547</v>
      </c>
      <c r="C442" s="178">
        <v>1051479.1</v>
      </c>
      <c r="D442" s="178">
        <v>0</v>
      </c>
      <c r="E442" s="178">
        <v>1051479.1</v>
      </c>
      <c r="F442" s="178">
        <v>2568.99</v>
      </c>
      <c r="G442" s="178">
        <v>2568.99</v>
      </c>
      <c r="H442" s="178">
        <v>1048910.11</v>
      </c>
      <c r="I442" s="178">
        <v>1048910.11</v>
      </c>
      <c r="J442" s="178" t="s">
        <v>497</v>
      </c>
    </row>
    <row r="443" spans="1:10">
      <c r="A443" s="178">
        <v>110</v>
      </c>
      <c r="B443" s="178" t="s">
        <v>548</v>
      </c>
      <c r="C443" s="178">
        <v>0</v>
      </c>
      <c r="D443" s="178">
        <v>0</v>
      </c>
      <c r="E443" s="178">
        <v>0</v>
      </c>
      <c r="F443" s="178">
        <v>0</v>
      </c>
      <c r="G443" s="178">
        <v>0</v>
      </c>
      <c r="H443" s="178">
        <v>0</v>
      </c>
      <c r="I443" s="178">
        <v>0</v>
      </c>
      <c r="J443" s="178" t="s">
        <v>497</v>
      </c>
    </row>
    <row r="444" spans="1:10">
      <c r="A444" s="178">
        <v>120</v>
      </c>
      <c r="B444" s="178" t="s">
        <v>322</v>
      </c>
      <c r="C444" s="178">
        <v>0</v>
      </c>
      <c r="D444" s="178">
        <v>0</v>
      </c>
      <c r="E444" s="178">
        <v>0</v>
      </c>
      <c r="F444" s="178">
        <v>0</v>
      </c>
      <c r="G444" s="178">
        <v>0</v>
      </c>
      <c r="H444" s="178">
        <v>0</v>
      </c>
      <c r="I444" s="178">
        <v>0</v>
      </c>
      <c r="J444" s="178" t="s">
        <v>497</v>
      </c>
    </row>
    <row r="445" spans="1:10">
      <c r="A445" s="178">
        <v>130</v>
      </c>
      <c r="B445" s="178" t="s">
        <v>282</v>
      </c>
      <c r="C445" s="178">
        <v>0</v>
      </c>
      <c r="D445" s="178">
        <v>0</v>
      </c>
      <c r="E445" s="178">
        <v>0</v>
      </c>
      <c r="F445" s="178">
        <v>0</v>
      </c>
      <c r="G445" s="178">
        <v>0</v>
      </c>
      <c r="H445" s="178">
        <v>0</v>
      </c>
      <c r="I445" s="178">
        <v>0</v>
      </c>
      <c r="J445" s="178" t="s">
        <v>497</v>
      </c>
    </row>
    <row r="446" spans="1:10">
      <c r="A446" s="178">
        <v>140</v>
      </c>
      <c r="B446" s="178" t="s">
        <v>364</v>
      </c>
      <c r="C446" s="178">
        <v>1</v>
      </c>
      <c r="D446" s="178">
        <v>0</v>
      </c>
      <c r="E446" s="178">
        <v>1</v>
      </c>
      <c r="F446" s="178">
        <v>0</v>
      </c>
      <c r="G446" s="178">
        <v>0</v>
      </c>
      <c r="H446" s="178">
        <v>1</v>
      </c>
      <c r="I446" s="178">
        <v>1</v>
      </c>
      <c r="J446" s="178" t="s">
        <v>497</v>
      </c>
    </row>
    <row r="447" spans="1:10">
      <c r="A447" s="178">
        <v>150</v>
      </c>
      <c r="B447" s="178" t="s">
        <v>285</v>
      </c>
      <c r="C447" s="178">
        <v>1</v>
      </c>
      <c r="D447" s="178">
        <v>0</v>
      </c>
      <c r="E447" s="178">
        <v>1</v>
      </c>
      <c r="F447" s="178">
        <v>0</v>
      </c>
      <c r="G447" s="178">
        <v>0</v>
      </c>
      <c r="H447" s="178">
        <v>1</v>
      </c>
      <c r="I447" s="178">
        <v>1</v>
      </c>
      <c r="J447" s="178" t="s">
        <v>497</v>
      </c>
    </row>
    <row r="448" spans="1:10">
      <c r="A448" s="178">
        <v>160</v>
      </c>
      <c r="B448" s="178" t="s">
        <v>284</v>
      </c>
      <c r="C448" s="178">
        <v>0</v>
      </c>
      <c r="D448" s="178">
        <v>0</v>
      </c>
      <c r="E448" s="178">
        <v>0</v>
      </c>
      <c r="F448" s="178">
        <v>0</v>
      </c>
      <c r="G448" s="178">
        <v>0</v>
      </c>
      <c r="H448" s="178">
        <v>0</v>
      </c>
      <c r="I448" s="178">
        <v>0</v>
      </c>
      <c r="J448" s="178" t="s">
        <v>497</v>
      </c>
    </row>
    <row r="449" spans="1:10">
      <c r="A449" s="178">
        <v>170</v>
      </c>
      <c r="B449" s="178" t="s">
        <v>283</v>
      </c>
      <c r="C449" s="178">
        <v>0</v>
      </c>
      <c r="D449" s="178">
        <v>0</v>
      </c>
      <c r="E449" s="178">
        <v>0</v>
      </c>
      <c r="F449" s="178">
        <v>0</v>
      </c>
      <c r="G449" s="178">
        <v>0</v>
      </c>
      <c r="H449" s="178">
        <v>0</v>
      </c>
      <c r="I449" s="178">
        <v>0</v>
      </c>
      <c r="J449" s="178" t="s">
        <v>497</v>
      </c>
    </row>
    <row r="450" spans="1:10">
      <c r="A450" s="178">
        <v>180</v>
      </c>
      <c r="B450" s="178" t="s">
        <v>366</v>
      </c>
      <c r="C450" s="178">
        <v>4148643.25</v>
      </c>
      <c r="D450" s="178">
        <v>0</v>
      </c>
      <c r="E450" s="178">
        <v>4148643.25</v>
      </c>
      <c r="F450" s="178">
        <v>0</v>
      </c>
      <c r="G450" s="178">
        <v>0</v>
      </c>
      <c r="H450" s="178">
        <v>4148643.25</v>
      </c>
      <c r="I450" s="178">
        <v>4148643.25</v>
      </c>
      <c r="J450" s="178" t="s">
        <v>497</v>
      </c>
    </row>
    <row r="451" spans="1:10">
      <c r="A451" s="178">
        <v>190</v>
      </c>
      <c r="B451" s="178" t="s">
        <v>367</v>
      </c>
      <c r="C451" s="178">
        <v>0</v>
      </c>
      <c r="D451" s="178">
        <v>0</v>
      </c>
      <c r="E451" s="178">
        <v>0</v>
      </c>
      <c r="F451" s="178">
        <v>0</v>
      </c>
      <c r="G451" s="178">
        <v>0</v>
      </c>
      <c r="H451" s="178">
        <v>0</v>
      </c>
      <c r="I451" s="178">
        <v>0</v>
      </c>
      <c r="J451" s="178" t="s">
        <v>497</v>
      </c>
    </row>
    <row r="452" spans="1:10">
      <c r="A452" s="178">
        <v>200</v>
      </c>
      <c r="B452" s="178" t="s">
        <v>368</v>
      </c>
      <c r="C452" s="178">
        <v>4148645.25</v>
      </c>
      <c r="D452" s="178">
        <v>0</v>
      </c>
      <c r="E452" s="178">
        <v>4148645.25</v>
      </c>
      <c r="F452" s="178">
        <v>0</v>
      </c>
      <c r="G452" s="178">
        <v>0</v>
      </c>
      <c r="H452" s="178">
        <v>4148645.25</v>
      </c>
      <c r="I452" s="178">
        <v>4148645.25</v>
      </c>
      <c r="J452" s="178" t="s">
        <v>497</v>
      </c>
    </row>
    <row r="453" spans="1:10">
      <c r="A453" s="178">
        <v>210</v>
      </c>
      <c r="B453" s="178" t="s">
        <v>549</v>
      </c>
      <c r="C453" s="178">
        <v>0</v>
      </c>
      <c r="D453" s="178">
        <v>0</v>
      </c>
      <c r="E453" s="178">
        <v>0</v>
      </c>
      <c r="F453" s="178">
        <v>0</v>
      </c>
      <c r="G453" s="178">
        <v>0</v>
      </c>
      <c r="H453" s="178">
        <v>0</v>
      </c>
      <c r="I453" s="178">
        <v>0</v>
      </c>
      <c r="J453" s="178" t="s">
        <v>497</v>
      </c>
    </row>
    <row r="454" spans="1:10">
      <c r="A454" s="178">
        <v>220</v>
      </c>
      <c r="B454" s="178" t="s">
        <v>370</v>
      </c>
      <c r="C454" s="178">
        <v>0</v>
      </c>
      <c r="D454" s="178">
        <v>0</v>
      </c>
      <c r="E454" s="178">
        <v>0</v>
      </c>
      <c r="F454" s="178">
        <v>0</v>
      </c>
      <c r="G454" s="178">
        <v>0</v>
      </c>
      <c r="H454" s="178">
        <v>0</v>
      </c>
      <c r="I454" s="178">
        <v>0</v>
      </c>
      <c r="J454" s="178" t="s">
        <v>497</v>
      </c>
    </row>
    <row r="455" spans="1:10">
      <c r="A455" s="178">
        <v>230</v>
      </c>
      <c r="B455" s="178" t="s">
        <v>371</v>
      </c>
      <c r="C455" s="178">
        <v>0</v>
      </c>
      <c r="D455" s="178">
        <v>0</v>
      </c>
      <c r="E455" s="178">
        <v>0</v>
      </c>
      <c r="F455" s="178">
        <v>0</v>
      </c>
      <c r="G455" s="178">
        <v>0</v>
      </c>
      <c r="H455" s="178">
        <v>0</v>
      </c>
      <c r="I455" s="178">
        <v>0</v>
      </c>
      <c r="J455" s="178" t="s">
        <v>497</v>
      </c>
    </row>
    <row r="456" spans="1:10">
      <c r="A456" s="178">
        <v>240</v>
      </c>
      <c r="B456" s="178" t="s">
        <v>372</v>
      </c>
      <c r="C456" s="178">
        <v>0</v>
      </c>
      <c r="D456" s="178">
        <v>0</v>
      </c>
      <c r="E456" s="178">
        <v>0</v>
      </c>
      <c r="F456" s="178">
        <v>0</v>
      </c>
      <c r="G456" s="178">
        <v>0</v>
      </c>
      <c r="H456" s="178">
        <v>0</v>
      </c>
      <c r="I456" s="178">
        <v>0</v>
      </c>
      <c r="J456" s="178" t="s">
        <v>497</v>
      </c>
    </row>
    <row r="457" spans="1:10">
      <c r="A457" s="178">
        <v>250</v>
      </c>
      <c r="B457" s="178" t="s">
        <v>373</v>
      </c>
      <c r="C457" s="178">
        <v>0</v>
      </c>
      <c r="D457" s="178">
        <v>0</v>
      </c>
      <c r="E457" s="178">
        <v>0</v>
      </c>
      <c r="F457" s="178">
        <v>0</v>
      </c>
      <c r="G457" s="178">
        <v>0</v>
      </c>
      <c r="H457" s="178">
        <v>0</v>
      </c>
      <c r="I457" s="178">
        <v>0</v>
      </c>
      <c r="J457" s="178" t="s">
        <v>497</v>
      </c>
    </row>
    <row r="458" spans="1:10">
      <c r="A458" s="178">
        <v>260</v>
      </c>
      <c r="B458" s="178" t="s">
        <v>374</v>
      </c>
      <c r="C458" s="178">
        <v>0</v>
      </c>
      <c r="D458" s="178">
        <v>0</v>
      </c>
      <c r="E458" s="178">
        <v>0</v>
      </c>
      <c r="F458" s="178">
        <v>0</v>
      </c>
      <c r="G458" s="178">
        <v>0</v>
      </c>
      <c r="H458" s="178">
        <v>0</v>
      </c>
      <c r="I458" s="178">
        <v>0</v>
      </c>
      <c r="J458" s="178" t="s">
        <v>497</v>
      </c>
    </row>
    <row r="459" spans="1:10">
      <c r="A459" s="178">
        <v>270</v>
      </c>
      <c r="B459" s="178" t="s">
        <v>375</v>
      </c>
      <c r="C459" s="178">
        <v>0</v>
      </c>
      <c r="D459" s="178">
        <v>0</v>
      </c>
      <c r="E459" s="178">
        <v>0</v>
      </c>
      <c r="F459" s="178">
        <v>0</v>
      </c>
      <c r="G459" s="178">
        <v>0</v>
      </c>
      <c r="H459" s="178">
        <v>0</v>
      </c>
      <c r="I459" s="178">
        <v>0</v>
      </c>
      <c r="J459" s="178" t="s">
        <v>497</v>
      </c>
    </row>
    <row r="460" spans="1:10">
      <c r="A460" s="178">
        <v>280</v>
      </c>
      <c r="B460" s="178" t="s">
        <v>550</v>
      </c>
      <c r="C460" s="178">
        <v>0</v>
      </c>
      <c r="D460" s="178">
        <v>0</v>
      </c>
      <c r="E460" s="178">
        <v>0</v>
      </c>
      <c r="F460" s="178">
        <v>0</v>
      </c>
      <c r="G460" s="178">
        <v>0</v>
      </c>
      <c r="H460" s="178">
        <v>0</v>
      </c>
      <c r="I460" s="178">
        <v>0</v>
      </c>
      <c r="J460" s="178" t="s">
        <v>497</v>
      </c>
    </row>
    <row r="461" spans="1:10">
      <c r="A461" s="178">
        <v>400</v>
      </c>
      <c r="B461" s="178" t="s">
        <v>377</v>
      </c>
      <c r="C461" s="178">
        <v>5200124.35</v>
      </c>
      <c r="D461" s="178">
        <v>0</v>
      </c>
      <c r="E461" s="178">
        <v>5200124.35</v>
      </c>
      <c r="F461" s="178">
        <v>2568.99</v>
      </c>
      <c r="G461" s="178">
        <v>2568.99</v>
      </c>
      <c r="H461" s="178">
        <v>5197555.36</v>
      </c>
      <c r="I461" s="178">
        <v>5197555.36</v>
      </c>
      <c r="J461" s="178" t="s">
        <v>497</v>
      </c>
    </row>
    <row r="462" spans="1:10">
      <c r="A462" s="178">
        <v>410</v>
      </c>
      <c r="B462" s="178" t="s">
        <v>551</v>
      </c>
      <c r="C462" s="178">
        <v>0</v>
      </c>
      <c r="D462" s="178">
        <v>0</v>
      </c>
      <c r="E462" s="178">
        <v>0</v>
      </c>
      <c r="F462" s="178">
        <v>0</v>
      </c>
      <c r="G462" s="178">
        <v>0</v>
      </c>
      <c r="H462" s="178">
        <v>0</v>
      </c>
      <c r="I462" s="178">
        <v>0</v>
      </c>
      <c r="J462" s="178" t="s">
        <v>497</v>
      </c>
    </row>
    <row r="463" spans="1:10">
      <c r="A463" s="178">
        <v>420</v>
      </c>
      <c r="B463" s="178" t="s">
        <v>270</v>
      </c>
      <c r="C463" s="178">
        <v>790926.23</v>
      </c>
      <c r="D463" s="178">
        <v>0</v>
      </c>
      <c r="E463" s="178">
        <v>790926.23</v>
      </c>
      <c r="F463" s="178">
        <v>0</v>
      </c>
      <c r="G463" s="178">
        <v>0</v>
      </c>
      <c r="H463" s="178">
        <v>790926.23</v>
      </c>
      <c r="I463" s="178">
        <v>790926.23</v>
      </c>
      <c r="J463" s="178" t="s">
        <v>497</v>
      </c>
    </row>
    <row r="464" spans="1:10">
      <c r="A464" s="178">
        <v>430</v>
      </c>
      <c r="B464" s="178" t="s">
        <v>379</v>
      </c>
      <c r="C464" s="178">
        <v>3700</v>
      </c>
      <c r="D464" s="178">
        <v>0</v>
      </c>
      <c r="E464" s="178">
        <v>3700</v>
      </c>
      <c r="F464" s="178">
        <v>3700</v>
      </c>
      <c r="G464" s="178">
        <v>3700</v>
      </c>
      <c r="H464" s="178">
        <v>0</v>
      </c>
      <c r="I464" s="178">
        <v>0</v>
      </c>
      <c r="J464" s="178" t="s">
        <v>497</v>
      </c>
    </row>
    <row r="465" spans="1:10">
      <c r="A465" s="178">
        <v>440</v>
      </c>
      <c r="B465" s="178" t="s">
        <v>380</v>
      </c>
      <c r="C465" s="178">
        <v>0</v>
      </c>
      <c r="D465" s="178">
        <v>0</v>
      </c>
      <c r="E465" s="178">
        <v>0</v>
      </c>
      <c r="F465" s="178">
        <v>0</v>
      </c>
      <c r="G465" s="178">
        <v>0</v>
      </c>
      <c r="H465" s="178">
        <v>0</v>
      </c>
      <c r="I465" s="178">
        <v>0</v>
      </c>
      <c r="J465" s="178" t="s">
        <v>497</v>
      </c>
    </row>
    <row r="466" spans="1:10">
      <c r="A466" s="178">
        <v>450</v>
      </c>
      <c r="B466" s="178" t="s">
        <v>552</v>
      </c>
      <c r="C466" s="178">
        <v>0</v>
      </c>
      <c r="D466" s="178">
        <v>0</v>
      </c>
      <c r="E466" s="178">
        <v>0</v>
      </c>
      <c r="F466" s="178">
        <v>0</v>
      </c>
      <c r="G466" s="178">
        <v>0</v>
      </c>
      <c r="H466" s="178">
        <v>0</v>
      </c>
      <c r="I466" s="178">
        <v>0</v>
      </c>
      <c r="J466" s="178" t="s">
        <v>497</v>
      </c>
    </row>
    <row r="467" spans="1:10">
      <c r="A467" s="178">
        <v>460</v>
      </c>
      <c r="B467" s="178" t="s">
        <v>553</v>
      </c>
      <c r="C467" s="178">
        <v>0</v>
      </c>
      <c r="D467" s="178">
        <v>0</v>
      </c>
      <c r="E467" s="178">
        <v>0</v>
      </c>
      <c r="F467" s="178">
        <v>0</v>
      </c>
      <c r="G467" s="178">
        <v>0</v>
      </c>
      <c r="H467" s="178">
        <v>0</v>
      </c>
      <c r="I467" s="178">
        <v>0</v>
      </c>
      <c r="J467" s="178" t="s">
        <v>497</v>
      </c>
    </row>
    <row r="468" spans="1:10">
      <c r="A468" s="178">
        <v>500</v>
      </c>
      <c r="B468" s="178" t="s">
        <v>383</v>
      </c>
      <c r="C468" s="178">
        <v>794626.23</v>
      </c>
      <c r="D468" s="178">
        <v>0</v>
      </c>
      <c r="E468" s="178">
        <v>794626.23</v>
      </c>
      <c r="F468" s="178">
        <v>3700</v>
      </c>
      <c r="G468" s="178">
        <v>3700</v>
      </c>
      <c r="H468" s="178">
        <v>790926.23</v>
      </c>
      <c r="I468" s="178">
        <v>790926.23</v>
      </c>
      <c r="J468" s="178" t="s">
        <v>497</v>
      </c>
    </row>
    <row r="469" spans="1:10">
      <c r="A469" s="178">
        <v>510</v>
      </c>
      <c r="B469" s="178" t="s">
        <v>554</v>
      </c>
      <c r="C469" s="178">
        <v>0</v>
      </c>
      <c r="D469" s="178">
        <v>0</v>
      </c>
      <c r="E469" s="178">
        <v>0</v>
      </c>
      <c r="F469" s="178">
        <v>0</v>
      </c>
      <c r="G469" s="178">
        <v>0</v>
      </c>
      <c r="H469" s="178">
        <v>0</v>
      </c>
      <c r="I469" s="178">
        <v>0</v>
      </c>
      <c r="J469" s="178" t="s">
        <v>497</v>
      </c>
    </row>
    <row r="470" spans="1:10">
      <c r="A470" s="178">
        <v>520</v>
      </c>
      <c r="B470" s="178" t="s">
        <v>555</v>
      </c>
      <c r="C470" s="178">
        <v>0</v>
      </c>
      <c r="D470" s="178">
        <v>0</v>
      </c>
      <c r="E470" s="178">
        <v>0</v>
      </c>
      <c r="F470" s="178">
        <v>0</v>
      </c>
      <c r="G470" s="178">
        <v>0</v>
      </c>
      <c r="H470" s="178">
        <v>0</v>
      </c>
      <c r="I470" s="178">
        <v>0</v>
      </c>
      <c r="J470" s="178" t="s">
        <v>497</v>
      </c>
    </row>
    <row r="471" spans="1:10">
      <c r="A471" s="178">
        <v>530</v>
      </c>
      <c r="B471" s="178" t="s">
        <v>555</v>
      </c>
      <c r="C471" s="178">
        <v>0</v>
      </c>
      <c r="D471" s="178">
        <v>0</v>
      </c>
      <c r="E471" s="178">
        <v>0</v>
      </c>
      <c r="F471" s="178">
        <v>0</v>
      </c>
      <c r="G471" s="178">
        <v>0</v>
      </c>
      <c r="H471" s="178">
        <v>0</v>
      </c>
      <c r="I471" s="178">
        <v>0</v>
      </c>
      <c r="J471" s="178" t="s">
        <v>497</v>
      </c>
    </row>
    <row r="472" spans="1:10">
      <c r="A472" s="178">
        <v>540</v>
      </c>
      <c r="B472" s="178" t="s">
        <v>387</v>
      </c>
      <c r="C472" s="178">
        <v>0</v>
      </c>
      <c r="D472" s="178">
        <v>0</v>
      </c>
      <c r="E472" s="178">
        <v>0</v>
      </c>
      <c r="F472" s="178">
        <v>0</v>
      </c>
      <c r="G472" s="178">
        <v>0</v>
      </c>
      <c r="H472" s="178">
        <v>0</v>
      </c>
      <c r="I472" s="178">
        <v>0</v>
      </c>
      <c r="J472" s="178" t="s">
        <v>497</v>
      </c>
    </row>
    <row r="473" spans="1:10">
      <c r="A473" s="178">
        <v>600</v>
      </c>
      <c r="B473" s="178" t="s">
        <v>388</v>
      </c>
      <c r="C473" s="178">
        <v>0</v>
      </c>
      <c r="D473" s="178">
        <v>0</v>
      </c>
      <c r="E473" s="178">
        <v>0</v>
      </c>
      <c r="F473" s="178">
        <v>0</v>
      </c>
      <c r="G473" s="178">
        <v>0</v>
      </c>
      <c r="H473" s="178">
        <v>0</v>
      </c>
      <c r="I473" s="178">
        <v>0</v>
      </c>
      <c r="J473" s="178" t="s">
        <v>497</v>
      </c>
    </row>
    <row r="474" spans="1:10">
      <c r="A474" s="178">
        <v>610</v>
      </c>
      <c r="B474" s="178" t="s">
        <v>556</v>
      </c>
      <c r="C474" s="178">
        <v>0</v>
      </c>
      <c r="D474" s="178">
        <v>0</v>
      </c>
      <c r="E474" s="178">
        <v>0</v>
      </c>
      <c r="F474" s="178">
        <v>0</v>
      </c>
      <c r="G474" s="178">
        <v>0</v>
      </c>
      <c r="H474" s="178">
        <v>0</v>
      </c>
      <c r="I474" s="178">
        <v>0</v>
      </c>
      <c r="J474" s="178" t="s">
        <v>497</v>
      </c>
    </row>
    <row r="475" spans="1:10">
      <c r="A475" s="178">
        <v>620</v>
      </c>
      <c r="B475" s="178" t="s">
        <v>390</v>
      </c>
      <c r="C475" s="178">
        <v>0</v>
      </c>
      <c r="D475" s="178">
        <v>0</v>
      </c>
      <c r="E475" s="178">
        <v>0</v>
      </c>
      <c r="F475" s="178">
        <v>0</v>
      </c>
      <c r="G475" s="178">
        <v>0</v>
      </c>
      <c r="H475" s="178">
        <v>0</v>
      </c>
      <c r="I475" s="178">
        <v>0</v>
      </c>
      <c r="J475" s="178" t="s">
        <v>497</v>
      </c>
    </row>
    <row r="476" spans="1:10">
      <c r="A476" s="178">
        <v>700</v>
      </c>
      <c r="B476" s="178" t="s">
        <v>557</v>
      </c>
      <c r="C476" s="178">
        <v>0</v>
      </c>
      <c r="D476" s="178">
        <v>0</v>
      </c>
      <c r="E476" s="178">
        <v>0</v>
      </c>
      <c r="F476" s="178">
        <v>0</v>
      </c>
      <c r="G476" s="178">
        <v>0</v>
      </c>
      <c r="H476" s="178">
        <v>0</v>
      </c>
      <c r="I476" s="178">
        <v>0</v>
      </c>
      <c r="J476" s="178" t="s">
        <v>497</v>
      </c>
    </row>
    <row r="477" spans="1:10">
      <c r="A477" s="178">
        <v>710</v>
      </c>
      <c r="B477" s="178" t="s">
        <v>558</v>
      </c>
      <c r="C477" s="178">
        <v>0</v>
      </c>
      <c r="D477" s="178">
        <v>0</v>
      </c>
      <c r="E477" s="178">
        <v>0</v>
      </c>
      <c r="F477" s="178">
        <v>0</v>
      </c>
      <c r="G477" s="178">
        <v>0</v>
      </c>
      <c r="H477" s="178">
        <v>0</v>
      </c>
      <c r="I477" s="178">
        <v>0</v>
      </c>
      <c r="J477" s="178" t="s">
        <v>497</v>
      </c>
    </row>
    <row r="478" spans="1:10">
      <c r="A478" s="178">
        <v>720</v>
      </c>
      <c r="B478" s="178" t="s">
        <v>276</v>
      </c>
      <c r="C478" s="178">
        <v>4550000</v>
      </c>
      <c r="D478" s="178">
        <v>0</v>
      </c>
      <c r="E478" s="178">
        <v>4550000</v>
      </c>
      <c r="F478" s="178">
        <v>0</v>
      </c>
      <c r="G478" s="178">
        <v>0</v>
      </c>
      <c r="H478" s="178">
        <v>4550000</v>
      </c>
      <c r="I478" s="178">
        <v>4550000</v>
      </c>
      <c r="J478" s="178" t="s">
        <v>497</v>
      </c>
    </row>
    <row r="479" spans="1:10">
      <c r="A479" s="178">
        <v>730</v>
      </c>
      <c r="B479" s="178" t="s">
        <v>393</v>
      </c>
      <c r="C479" s="178">
        <v>0</v>
      </c>
      <c r="D479" s="178">
        <v>0</v>
      </c>
      <c r="E479" s="178">
        <v>0</v>
      </c>
      <c r="F479" s="178">
        <v>0</v>
      </c>
      <c r="G479" s="178">
        <v>0</v>
      </c>
      <c r="H479" s="178">
        <v>0</v>
      </c>
      <c r="I479" s="178">
        <v>0</v>
      </c>
      <c r="J479" s="178" t="s">
        <v>497</v>
      </c>
    </row>
    <row r="480" spans="1:10">
      <c r="A480" s="178">
        <v>740</v>
      </c>
      <c r="B480" s="178" t="s">
        <v>394</v>
      </c>
      <c r="C480" s="178">
        <v>-143370.87</v>
      </c>
      <c r="D480" s="178">
        <v>0</v>
      </c>
      <c r="E480" s="178">
        <v>-143370.87</v>
      </c>
      <c r="F480" s="178">
        <v>0</v>
      </c>
      <c r="G480" s="178">
        <v>0</v>
      </c>
      <c r="H480" s="178">
        <v>1451572.8</v>
      </c>
      <c r="I480" s="178">
        <v>-143370.87</v>
      </c>
      <c r="J480" s="178" t="s">
        <v>497</v>
      </c>
    </row>
    <row r="481" spans="1:10">
      <c r="A481" s="178">
        <v>750</v>
      </c>
      <c r="B481" s="178" t="s">
        <v>395</v>
      </c>
      <c r="C481" s="178">
        <v>-975</v>
      </c>
      <c r="D481" s="178">
        <v>0</v>
      </c>
      <c r="E481" s="178">
        <v>-975</v>
      </c>
      <c r="F481" s="178">
        <v>-975</v>
      </c>
      <c r="G481" s="178">
        <v>-975</v>
      </c>
      <c r="H481" s="178">
        <v>-1594943.67</v>
      </c>
      <c r="I481" s="178">
        <v>0</v>
      </c>
      <c r="J481" s="178" t="s">
        <v>497</v>
      </c>
    </row>
    <row r="482" spans="1:10">
      <c r="A482" s="178">
        <v>760</v>
      </c>
      <c r="B482" s="178" t="s">
        <v>396</v>
      </c>
      <c r="C482" s="178">
        <v>0</v>
      </c>
      <c r="D482" s="178">
        <v>0</v>
      </c>
      <c r="E482" s="178">
        <v>0</v>
      </c>
      <c r="F482" s="178">
        <v>0</v>
      </c>
      <c r="G482" s="178">
        <v>0</v>
      </c>
      <c r="H482" s="178">
        <v>0</v>
      </c>
      <c r="I482" s="178">
        <v>0</v>
      </c>
      <c r="J482" s="178" t="s">
        <v>497</v>
      </c>
    </row>
    <row r="483" spans="1:10">
      <c r="A483" s="178">
        <v>770</v>
      </c>
      <c r="B483" s="178" t="s">
        <v>397</v>
      </c>
      <c r="C483" s="178">
        <v>0</v>
      </c>
      <c r="D483" s="178">
        <v>0</v>
      </c>
      <c r="E483" s="178">
        <v>0</v>
      </c>
      <c r="F483" s="178">
        <v>0</v>
      </c>
      <c r="G483" s="178">
        <v>0</v>
      </c>
      <c r="H483" s="178">
        <v>0</v>
      </c>
      <c r="I483" s="178">
        <v>0</v>
      </c>
      <c r="J483" s="178" t="s">
        <v>497</v>
      </c>
    </row>
    <row r="484" spans="1:10">
      <c r="A484" s="178">
        <v>800</v>
      </c>
      <c r="B484" s="178" t="s">
        <v>398</v>
      </c>
      <c r="C484" s="178">
        <v>4405654.13</v>
      </c>
      <c r="D484" s="178">
        <v>0</v>
      </c>
      <c r="E484" s="178">
        <v>4405654.13</v>
      </c>
      <c r="F484" s="178">
        <v>-975</v>
      </c>
      <c r="G484" s="178">
        <v>-975</v>
      </c>
      <c r="H484" s="178">
        <v>4406629.13</v>
      </c>
      <c r="I484" s="178">
        <v>4406629.13</v>
      </c>
      <c r="J484" s="178" t="s">
        <v>497</v>
      </c>
    </row>
    <row r="485" spans="1:10">
      <c r="A485" s="178">
        <v>900</v>
      </c>
      <c r="B485" s="178" t="s">
        <v>399</v>
      </c>
      <c r="C485" s="178">
        <v>5200280.36</v>
      </c>
      <c r="D485" s="178">
        <v>0</v>
      </c>
      <c r="E485" s="178">
        <v>5200280.36</v>
      </c>
      <c r="F485" s="178">
        <v>2725</v>
      </c>
      <c r="G485" s="178">
        <v>2725</v>
      </c>
      <c r="H485" s="178">
        <v>5197555.36</v>
      </c>
      <c r="I485" s="178">
        <v>5197555.36</v>
      </c>
      <c r="J485" s="178" t="s">
        <v>497</v>
      </c>
    </row>
    <row r="486" spans="1:10">
      <c r="A486" s="178">
        <v>1000</v>
      </c>
      <c r="B486" s="178" t="s">
        <v>559</v>
      </c>
      <c r="C486" s="178">
        <v>-156.01</v>
      </c>
      <c r="D486" s="178">
        <v>0</v>
      </c>
      <c r="E486" s="178">
        <v>-156.01</v>
      </c>
      <c r="F486" s="178">
        <v>-156.01</v>
      </c>
      <c r="G486" s="178">
        <v>-156.01</v>
      </c>
      <c r="H486" s="178">
        <v>0</v>
      </c>
      <c r="I486" s="178">
        <v>0</v>
      </c>
      <c r="J486" s="178" t="s">
        <v>497</v>
      </c>
    </row>
    <row r="487" spans="1:10">
      <c r="A487" s="178" t="s">
        <v>442</v>
      </c>
      <c r="B487" s="178" t="s">
        <v>402</v>
      </c>
      <c r="C487" s="178" t="s">
        <v>538</v>
      </c>
      <c r="D487" s="178" t="s">
        <v>539</v>
      </c>
      <c r="E487" s="178" t="s">
        <v>540</v>
      </c>
      <c r="F487" s="178" t="s">
        <v>541</v>
      </c>
      <c r="G487" s="178" t="s">
        <v>542</v>
      </c>
      <c r="H487" s="178" t="s">
        <v>543</v>
      </c>
      <c r="I487" s="178" t="s">
        <v>544</v>
      </c>
      <c r="J487" s="178" t="s">
        <v>405</v>
      </c>
    </row>
    <row r="488" spans="1:10">
      <c r="A488" s="178">
        <v>10</v>
      </c>
      <c r="B488" s="178" t="s">
        <v>545</v>
      </c>
      <c r="C488" s="178">
        <v>0</v>
      </c>
      <c r="D488" s="178">
        <v>0</v>
      </c>
      <c r="E488" s="178">
        <v>0</v>
      </c>
      <c r="F488" s="178">
        <v>0</v>
      </c>
      <c r="G488" s="178">
        <v>0</v>
      </c>
      <c r="H488" s="178">
        <v>0</v>
      </c>
      <c r="I488" s="178">
        <v>0</v>
      </c>
      <c r="J488" s="178" t="s">
        <v>497</v>
      </c>
    </row>
    <row r="489" spans="1:10">
      <c r="A489" s="178">
        <v>20</v>
      </c>
      <c r="B489" s="178" t="s">
        <v>359</v>
      </c>
      <c r="C489" s="178">
        <v>1455.7</v>
      </c>
      <c r="D489" s="178">
        <v>0</v>
      </c>
      <c r="E489" s="178">
        <v>1455.7</v>
      </c>
      <c r="F489" s="178">
        <v>-1453.48</v>
      </c>
      <c r="G489" s="178">
        <v>-1453.48</v>
      </c>
      <c r="H489" s="178">
        <v>2909.18</v>
      </c>
      <c r="I489" s="178">
        <v>2909.18</v>
      </c>
      <c r="J489" s="178" t="s">
        <v>497</v>
      </c>
    </row>
    <row r="490" spans="1:10">
      <c r="A490" s="178">
        <v>30</v>
      </c>
      <c r="B490" s="178" t="s">
        <v>360</v>
      </c>
      <c r="C490" s="178">
        <v>0</v>
      </c>
      <c r="D490" s="178">
        <v>0</v>
      </c>
      <c r="E490" s="178">
        <v>0</v>
      </c>
      <c r="F490" s="178">
        <v>0</v>
      </c>
      <c r="G490" s="178">
        <v>0</v>
      </c>
      <c r="H490" s="178">
        <v>0</v>
      </c>
      <c r="I490" s="178">
        <v>0</v>
      </c>
      <c r="J490" s="178" t="s">
        <v>497</v>
      </c>
    </row>
    <row r="491" spans="1:10">
      <c r="A491" s="178">
        <v>40</v>
      </c>
      <c r="B491" s="178" t="s">
        <v>266</v>
      </c>
      <c r="C491" s="178">
        <v>0</v>
      </c>
      <c r="D491" s="178">
        <v>0</v>
      </c>
      <c r="E491" s="178">
        <v>0</v>
      </c>
      <c r="F491" s="178">
        <v>0</v>
      </c>
      <c r="G491" s="178">
        <v>0</v>
      </c>
      <c r="H491" s="178">
        <v>0</v>
      </c>
      <c r="I491" s="178">
        <v>0</v>
      </c>
      <c r="J491" s="178" t="s">
        <v>497</v>
      </c>
    </row>
    <row r="492" spans="1:10">
      <c r="A492" s="178">
        <v>50</v>
      </c>
      <c r="B492" s="178" t="s">
        <v>267</v>
      </c>
      <c r="C492" s="178">
        <v>0</v>
      </c>
      <c r="D492" s="178">
        <v>0</v>
      </c>
      <c r="E492" s="178">
        <v>0</v>
      </c>
      <c r="F492" s="178">
        <v>0</v>
      </c>
      <c r="G492" s="178">
        <v>0</v>
      </c>
      <c r="H492" s="178">
        <v>0</v>
      </c>
      <c r="I492" s="178">
        <v>0</v>
      </c>
      <c r="J492" s="178" t="s">
        <v>497</v>
      </c>
    </row>
    <row r="493" spans="1:10">
      <c r="A493" s="178">
        <v>60</v>
      </c>
      <c r="B493" s="178" t="s">
        <v>268</v>
      </c>
      <c r="C493" s="178">
        <v>0</v>
      </c>
      <c r="D493" s="178">
        <v>0</v>
      </c>
      <c r="E493" s="178">
        <v>0</v>
      </c>
      <c r="F493" s="178">
        <v>0</v>
      </c>
      <c r="G493" s="178">
        <v>0</v>
      </c>
      <c r="H493" s="178">
        <v>0</v>
      </c>
      <c r="I493" s="178">
        <v>0</v>
      </c>
      <c r="J493" s="178" t="s">
        <v>497</v>
      </c>
    </row>
    <row r="494" spans="1:10">
      <c r="A494" s="178">
        <v>70</v>
      </c>
      <c r="B494" s="178" t="s">
        <v>269</v>
      </c>
      <c r="C494" s="178">
        <v>289660.85</v>
      </c>
      <c r="D494" s="178">
        <v>0</v>
      </c>
      <c r="E494" s="178">
        <v>289660.85</v>
      </c>
      <c r="F494" s="178">
        <v>0</v>
      </c>
      <c r="G494" s="178">
        <v>0</v>
      </c>
      <c r="H494" s="178">
        <v>289660.85</v>
      </c>
      <c r="I494" s="178">
        <v>289660.85</v>
      </c>
      <c r="J494" s="178" t="s">
        <v>497</v>
      </c>
    </row>
    <row r="495" spans="1:10">
      <c r="A495" s="178">
        <v>80</v>
      </c>
      <c r="B495" s="178" t="s">
        <v>560</v>
      </c>
      <c r="C495" s="178">
        <v>200.48</v>
      </c>
      <c r="D495" s="178">
        <v>0</v>
      </c>
      <c r="E495" s="178">
        <v>200.48</v>
      </c>
      <c r="F495" s="178">
        <v>200.48</v>
      </c>
      <c r="G495" s="178">
        <v>200.48</v>
      </c>
      <c r="H495" s="178">
        <v>0</v>
      </c>
      <c r="I495" s="178">
        <v>0</v>
      </c>
      <c r="J495" s="178" t="s">
        <v>497</v>
      </c>
    </row>
    <row r="496" spans="1:10">
      <c r="A496" s="178">
        <v>100</v>
      </c>
      <c r="B496" s="178" t="s">
        <v>547</v>
      </c>
      <c r="C496" s="178">
        <v>291317.03</v>
      </c>
      <c r="D496" s="178">
        <v>0</v>
      </c>
      <c r="E496" s="178">
        <v>291317.03</v>
      </c>
      <c r="F496" s="178">
        <v>-1253</v>
      </c>
      <c r="G496" s="178">
        <v>-1253</v>
      </c>
      <c r="H496" s="178">
        <v>292570.03</v>
      </c>
      <c r="I496" s="178">
        <v>292570.03</v>
      </c>
      <c r="J496" s="178" t="s">
        <v>497</v>
      </c>
    </row>
    <row r="497" spans="1:10">
      <c r="A497" s="178">
        <v>110</v>
      </c>
      <c r="B497" s="178" t="s">
        <v>548</v>
      </c>
      <c r="C497" s="178">
        <v>0</v>
      </c>
      <c r="D497" s="178">
        <v>0</v>
      </c>
      <c r="E497" s="178">
        <v>0</v>
      </c>
      <c r="F497" s="178">
        <v>0</v>
      </c>
      <c r="G497" s="178">
        <v>0</v>
      </c>
      <c r="H497" s="178">
        <v>0</v>
      </c>
      <c r="I497" s="178">
        <v>0</v>
      </c>
      <c r="J497" s="178" t="s">
        <v>497</v>
      </c>
    </row>
    <row r="498" spans="1:10">
      <c r="A498" s="178">
        <v>120</v>
      </c>
      <c r="B498" s="178" t="s">
        <v>322</v>
      </c>
      <c r="C498" s="178">
        <v>0</v>
      </c>
      <c r="D498" s="178">
        <v>0</v>
      </c>
      <c r="E498" s="178">
        <v>0</v>
      </c>
      <c r="F498" s="178">
        <v>0</v>
      </c>
      <c r="G498" s="178">
        <v>0</v>
      </c>
      <c r="H498" s="178">
        <v>0</v>
      </c>
      <c r="I498" s="178">
        <v>0</v>
      </c>
      <c r="J498" s="178" t="s">
        <v>497</v>
      </c>
    </row>
    <row r="499" spans="1:10">
      <c r="A499" s="178">
        <v>130</v>
      </c>
      <c r="B499" s="178" t="s">
        <v>282</v>
      </c>
      <c r="C499" s="178">
        <v>0</v>
      </c>
      <c r="D499" s="178">
        <v>0</v>
      </c>
      <c r="E499" s="178">
        <v>0</v>
      </c>
      <c r="F499" s="178">
        <v>0</v>
      </c>
      <c r="G499" s="178">
        <v>0</v>
      </c>
      <c r="H499" s="178">
        <v>0</v>
      </c>
      <c r="I499" s="178">
        <v>0</v>
      </c>
      <c r="J499" s="178" t="s">
        <v>497</v>
      </c>
    </row>
    <row r="500" spans="1:10">
      <c r="A500" s="178">
        <v>140</v>
      </c>
      <c r="B500" s="178" t="s">
        <v>364</v>
      </c>
      <c r="C500" s="178">
        <v>1</v>
      </c>
      <c r="D500" s="178">
        <v>0</v>
      </c>
      <c r="E500" s="178">
        <v>1</v>
      </c>
      <c r="F500" s="178">
        <v>0</v>
      </c>
      <c r="G500" s="178">
        <v>0</v>
      </c>
      <c r="H500" s="178">
        <v>1</v>
      </c>
      <c r="I500" s="178">
        <v>1</v>
      </c>
      <c r="J500" s="178" t="s">
        <v>497</v>
      </c>
    </row>
    <row r="501" spans="1:10">
      <c r="A501" s="178">
        <v>150</v>
      </c>
      <c r="B501" s="178" t="s">
        <v>285</v>
      </c>
      <c r="C501" s="178">
        <v>1</v>
      </c>
      <c r="D501" s="178">
        <v>0</v>
      </c>
      <c r="E501" s="178">
        <v>1</v>
      </c>
      <c r="F501" s="178">
        <v>0</v>
      </c>
      <c r="G501" s="178">
        <v>0</v>
      </c>
      <c r="H501" s="178">
        <v>1</v>
      </c>
      <c r="I501" s="178">
        <v>1</v>
      </c>
      <c r="J501" s="178" t="s">
        <v>497</v>
      </c>
    </row>
    <row r="502" spans="1:10">
      <c r="A502" s="178">
        <v>160</v>
      </c>
      <c r="B502" s="178" t="s">
        <v>284</v>
      </c>
      <c r="C502" s="178">
        <v>0</v>
      </c>
      <c r="D502" s="178">
        <v>0</v>
      </c>
      <c r="E502" s="178">
        <v>0</v>
      </c>
      <c r="F502" s="178">
        <v>0</v>
      </c>
      <c r="G502" s="178">
        <v>0</v>
      </c>
      <c r="H502" s="178">
        <v>0</v>
      </c>
      <c r="I502" s="178">
        <v>0</v>
      </c>
      <c r="J502" s="178" t="s">
        <v>497</v>
      </c>
    </row>
    <row r="503" spans="1:10">
      <c r="A503" s="178">
        <v>170</v>
      </c>
      <c r="B503" s="178" t="s">
        <v>283</v>
      </c>
      <c r="C503" s="178">
        <v>1</v>
      </c>
      <c r="D503" s="178">
        <v>0</v>
      </c>
      <c r="E503" s="178">
        <v>1</v>
      </c>
      <c r="F503" s="178">
        <v>0</v>
      </c>
      <c r="G503" s="178">
        <v>0</v>
      </c>
      <c r="H503" s="178">
        <v>1</v>
      </c>
      <c r="I503" s="178">
        <v>1</v>
      </c>
      <c r="J503" s="178" t="s">
        <v>497</v>
      </c>
    </row>
    <row r="504" spans="1:10">
      <c r="A504" s="178">
        <v>180</v>
      </c>
      <c r="B504" s="178" t="s">
        <v>366</v>
      </c>
      <c r="C504" s="178">
        <v>1</v>
      </c>
      <c r="D504" s="178">
        <v>0</v>
      </c>
      <c r="E504" s="178">
        <v>1</v>
      </c>
      <c r="F504" s="178">
        <v>0</v>
      </c>
      <c r="G504" s="178">
        <v>0</v>
      </c>
      <c r="H504" s="178">
        <v>1</v>
      </c>
      <c r="I504" s="178">
        <v>1</v>
      </c>
      <c r="J504" s="178" t="s">
        <v>497</v>
      </c>
    </row>
    <row r="505" spans="1:10">
      <c r="A505" s="178">
        <v>190</v>
      </c>
      <c r="B505" s="178" t="s">
        <v>367</v>
      </c>
      <c r="C505" s="178">
        <v>0</v>
      </c>
      <c r="D505" s="178">
        <v>0</v>
      </c>
      <c r="E505" s="178">
        <v>0</v>
      </c>
      <c r="F505" s="178">
        <v>0</v>
      </c>
      <c r="G505" s="178">
        <v>0</v>
      </c>
      <c r="H505" s="178">
        <v>0</v>
      </c>
      <c r="I505" s="178">
        <v>0</v>
      </c>
      <c r="J505" s="178" t="s">
        <v>497</v>
      </c>
    </row>
    <row r="506" spans="1:10">
      <c r="A506" s="178">
        <v>200</v>
      </c>
      <c r="B506" s="178" t="s">
        <v>368</v>
      </c>
      <c r="C506" s="178">
        <v>4</v>
      </c>
      <c r="D506" s="178">
        <v>0</v>
      </c>
      <c r="E506" s="178">
        <v>4</v>
      </c>
      <c r="F506" s="178">
        <v>0</v>
      </c>
      <c r="G506" s="178">
        <v>0</v>
      </c>
      <c r="H506" s="178">
        <v>4</v>
      </c>
      <c r="I506" s="178">
        <v>4</v>
      </c>
      <c r="J506" s="178" t="s">
        <v>497</v>
      </c>
    </row>
    <row r="507" spans="1:10">
      <c r="A507" s="178">
        <v>210</v>
      </c>
      <c r="B507" s="178" t="s">
        <v>549</v>
      </c>
      <c r="C507" s="178">
        <v>0</v>
      </c>
      <c r="D507" s="178">
        <v>0</v>
      </c>
      <c r="E507" s="178">
        <v>0</v>
      </c>
      <c r="F507" s="178">
        <v>0</v>
      </c>
      <c r="G507" s="178">
        <v>0</v>
      </c>
      <c r="H507" s="178">
        <v>0</v>
      </c>
      <c r="I507" s="178">
        <v>0</v>
      </c>
      <c r="J507" s="178" t="s">
        <v>497</v>
      </c>
    </row>
    <row r="508" spans="1:10">
      <c r="A508" s="178">
        <v>220</v>
      </c>
      <c r="B508" s="178" t="s">
        <v>370</v>
      </c>
      <c r="C508" s="178">
        <v>0</v>
      </c>
      <c r="D508" s="178">
        <v>0</v>
      </c>
      <c r="E508" s="178">
        <v>0</v>
      </c>
      <c r="F508" s="178">
        <v>0</v>
      </c>
      <c r="G508" s="178">
        <v>0</v>
      </c>
      <c r="H508" s="178">
        <v>0</v>
      </c>
      <c r="I508" s="178">
        <v>0</v>
      </c>
      <c r="J508" s="178" t="s">
        <v>497</v>
      </c>
    </row>
    <row r="509" spans="1:10">
      <c r="A509" s="178">
        <v>230</v>
      </c>
      <c r="B509" s="178" t="s">
        <v>371</v>
      </c>
      <c r="C509" s="178">
        <v>0</v>
      </c>
      <c r="D509" s="178">
        <v>0</v>
      </c>
      <c r="E509" s="178">
        <v>0</v>
      </c>
      <c r="F509" s="178">
        <v>0</v>
      </c>
      <c r="G509" s="178">
        <v>0</v>
      </c>
      <c r="H509" s="178">
        <v>0</v>
      </c>
      <c r="I509" s="178">
        <v>0</v>
      </c>
      <c r="J509" s="178" t="s">
        <v>497</v>
      </c>
    </row>
    <row r="510" spans="1:10">
      <c r="A510" s="178">
        <v>240</v>
      </c>
      <c r="B510" s="178" t="s">
        <v>372</v>
      </c>
      <c r="C510" s="178">
        <v>0</v>
      </c>
      <c r="D510" s="178">
        <v>0</v>
      </c>
      <c r="E510" s="178">
        <v>0</v>
      </c>
      <c r="F510" s="178">
        <v>0</v>
      </c>
      <c r="G510" s="178">
        <v>0</v>
      </c>
      <c r="H510" s="178">
        <v>0</v>
      </c>
      <c r="I510" s="178">
        <v>0</v>
      </c>
      <c r="J510" s="178" t="s">
        <v>497</v>
      </c>
    </row>
    <row r="511" spans="1:10">
      <c r="A511" s="178">
        <v>250</v>
      </c>
      <c r="B511" s="178" t="s">
        <v>373</v>
      </c>
      <c r="C511" s="178">
        <v>0</v>
      </c>
      <c r="D511" s="178">
        <v>0</v>
      </c>
      <c r="E511" s="178">
        <v>0</v>
      </c>
      <c r="F511" s="178">
        <v>0</v>
      </c>
      <c r="G511" s="178">
        <v>0</v>
      </c>
      <c r="H511" s="178">
        <v>0</v>
      </c>
      <c r="I511" s="178">
        <v>0</v>
      </c>
      <c r="J511" s="178" t="s">
        <v>497</v>
      </c>
    </row>
    <row r="512" spans="1:10">
      <c r="A512" s="178">
        <v>260</v>
      </c>
      <c r="B512" s="178" t="s">
        <v>374</v>
      </c>
      <c r="C512" s="178">
        <v>0</v>
      </c>
      <c r="D512" s="178">
        <v>0</v>
      </c>
      <c r="E512" s="178">
        <v>0</v>
      </c>
      <c r="F512" s="178">
        <v>0</v>
      </c>
      <c r="G512" s="178">
        <v>0</v>
      </c>
      <c r="H512" s="178">
        <v>0</v>
      </c>
      <c r="I512" s="178">
        <v>0</v>
      </c>
      <c r="J512" s="178" t="s">
        <v>497</v>
      </c>
    </row>
    <row r="513" spans="1:10">
      <c r="A513" s="178">
        <v>270</v>
      </c>
      <c r="B513" s="178" t="s">
        <v>375</v>
      </c>
      <c r="C513" s="178">
        <v>0</v>
      </c>
      <c r="D513" s="178">
        <v>0</v>
      </c>
      <c r="E513" s="178">
        <v>0</v>
      </c>
      <c r="F513" s="178">
        <v>0</v>
      </c>
      <c r="G513" s="178">
        <v>0</v>
      </c>
      <c r="H513" s="178">
        <v>0</v>
      </c>
      <c r="I513" s="178">
        <v>0</v>
      </c>
      <c r="J513" s="178" t="s">
        <v>497</v>
      </c>
    </row>
    <row r="514" spans="1:10">
      <c r="A514" s="178">
        <v>280</v>
      </c>
      <c r="B514" s="178" t="s">
        <v>550</v>
      </c>
      <c r="C514" s="178">
        <v>0</v>
      </c>
      <c r="D514" s="178">
        <v>0</v>
      </c>
      <c r="E514" s="178">
        <v>0</v>
      </c>
      <c r="F514" s="178">
        <v>0</v>
      </c>
      <c r="G514" s="178">
        <v>0</v>
      </c>
      <c r="H514" s="178">
        <v>0</v>
      </c>
      <c r="I514" s="178">
        <v>0</v>
      </c>
      <c r="J514" s="178" t="s">
        <v>497</v>
      </c>
    </row>
    <row r="515" spans="1:10">
      <c r="A515" s="178">
        <v>400</v>
      </c>
      <c r="B515" s="178" t="s">
        <v>377</v>
      </c>
      <c r="C515" s="178">
        <v>291321.03</v>
      </c>
      <c r="D515" s="178">
        <v>0</v>
      </c>
      <c r="E515" s="178">
        <v>291321.03</v>
      </c>
      <c r="F515" s="178">
        <v>-1253</v>
      </c>
      <c r="G515" s="178">
        <v>-1253</v>
      </c>
      <c r="H515" s="178">
        <v>292574.03</v>
      </c>
      <c r="I515" s="178">
        <v>292574.03</v>
      </c>
      <c r="J515" s="178" t="s">
        <v>497</v>
      </c>
    </row>
    <row r="516" spans="1:10">
      <c r="A516" s="178">
        <v>410</v>
      </c>
      <c r="B516" s="178" t="s">
        <v>551</v>
      </c>
      <c r="C516" s="178">
        <v>0</v>
      </c>
      <c r="D516" s="178">
        <v>0</v>
      </c>
      <c r="E516" s="178">
        <v>0</v>
      </c>
      <c r="F516" s="178">
        <v>0</v>
      </c>
      <c r="G516" s="178">
        <v>0</v>
      </c>
      <c r="H516" s="178">
        <v>0</v>
      </c>
      <c r="I516" s="178">
        <v>0</v>
      </c>
      <c r="J516" s="178" t="s">
        <v>497</v>
      </c>
    </row>
    <row r="517" spans="1:10">
      <c r="A517" s="178">
        <v>420</v>
      </c>
      <c r="B517" s="178" t="s">
        <v>270</v>
      </c>
      <c r="C517" s="178">
        <v>480155.07</v>
      </c>
      <c r="D517" s="178">
        <v>0</v>
      </c>
      <c r="E517" s="178">
        <v>480155.07</v>
      </c>
      <c r="F517" s="178">
        <v>0</v>
      </c>
      <c r="G517" s="178">
        <v>0</v>
      </c>
      <c r="H517" s="178">
        <v>480155.07</v>
      </c>
      <c r="I517" s="178">
        <v>480155.07</v>
      </c>
      <c r="J517" s="178" t="s">
        <v>497</v>
      </c>
    </row>
    <row r="518" spans="1:10">
      <c r="A518" s="178">
        <v>430</v>
      </c>
      <c r="B518" s="178" t="s">
        <v>379</v>
      </c>
      <c r="C518" s="178">
        <v>0</v>
      </c>
      <c r="D518" s="178">
        <v>0</v>
      </c>
      <c r="E518" s="178">
        <v>0</v>
      </c>
      <c r="F518" s="178">
        <v>0</v>
      </c>
      <c r="G518" s="178">
        <v>0</v>
      </c>
      <c r="H518" s="178">
        <v>0</v>
      </c>
      <c r="I518" s="178">
        <v>0</v>
      </c>
      <c r="J518" s="178" t="s">
        <v>497</v>
      </c>
    </row>
    <row r="519" spans="1:10">
      <c r="A519" s="178">
        <v>440</v>
      </c>
      <c r="B519" s="178" t="s">
        <v>380</v>
      </c>
      <c r="C519" s="178">
        <v>0</v>
      </c>
      <c r="D519" s="178">
        <v>0</v>
      </c>
      <c r="E519" s="178">
        <v>0</v>
      </c>
      <c r="F519" s="178">
        <v>0</v>
      </c>
      <c r="G519" s="178">
        <v>0</v>
      </c>
      <c r="H519" s="178">
        <v>0</v>
      </c>
      <c r="I519" s="178">
        <v>0</v>
      </c>
      <c r="J519" s="178" t="s">
        <v>497</v>
      </c>
    </row>
    <row r="520" spans="1:10">
      <c r="A520" s="178">
        <v>450</v>
      </c>
      <c r="B520" s="178" t="s">
        <v>381</v>
      </c>
      <c r="C520" s="178">
        <v>0</v>
      </c>
      <c r="D520" s="178">
        <v>0</v>
      </c>
      <c r="E520" s="178">
        <v>0</v>
      </c>
      <c r="F520" s="178">
        <v>0</v>
      </c>
      <c r="G520" s="178">
        <v>0</v>
      </c>
      <c r="H520" s="178">
        <v>0</v>
      </c>
      <c r="I520" s="178">
        <v>0</v>
      </c>
      <c r="J520" s="178" t="s">
        <v>497</v>
      </c>
    </row>
    <row r="521" spans="1:10">
      <c r="A521" s="178">
        <v>460</v>
      </c>
      <c r="B521" s="178" t="s">
        <v>553</v>
      </c>
      <c r="C521" s="178">
        <v>0</v>
      </c>
      <c r="D521" s="178">
        <v>0</v>
      </c>
      <c r="E521" s="178">
        <v>0</v>
      </c>
      <c r="F521" s="178">
        <v>0</v>
      </c>
      <c r="G521" s="178">
        <v>0</v>
      </c>
      <c r="H521" s="178">
        <v>0</v>
      </c>
      <c r="I521" s="178">
        <v>0</v>
      </c>
      <c r="J521" s="178" t="s">
        <v>497</v>
      </c>
    </row>
    <row r="522" spans="1:10">
      <c r="A522" s="178">
        <v>500</v>
      </c>
      <c r="B522" s="178" t="s">
        <v>383</v>
      </c>
      <c r="C522" s="178">
        <v>480155.07</v>
      </c>
      <c r="D522" s="178">
        <v>0</v>
      </c>
      <c r="E522" s="178">
        <v>480155.07</v>
      </c>
      <c r="F522" s="178">
        <v>0</v>
      </c>
      <c r="G522" s="178">
        <v>0</v>
      </c>
      <c r="H522" s="178">
        <v>480155.07</v>
      </c>
      <c r="I522" s="178">
        <v>480155.07</v>
      </c>
      <c r="J522" s="178" t="s">
        <v>497</v>
      </c>
    </row>
    <row r="523" spans="1:10">
      <c r="A523" s="178">
        <v>510</v>
      </c>
      <c r="B523" s="178" t="s">
        <v>554</v>
      </c>
      <c r="C523" s="178">
        <v>0</v>
      </c>
      <c r="D523" s="178">
        <v>0</v>
      </c>
      <c r="E523" s="178">
        <v>0</v>
      </c>
      <c r="F523" s="178">
        <v>0</v>
      </c>
      <c r="G523" s="178">
        <v>0</v>
      </c>
      <c r="H523" s="178">
        <v>0</v>
      </c>
      <c r="I523" s="178">
        <v>0</v>
      </c>
      <c r="J523" s="178" t="s">
        <v>497</v>
      </c>
    </row>
    <row r="524" spans="1:10">
      <c r="A524" s="178">
        <v>520</v>
      </c>
      <c r="B524" s="178" t="s">
        <v>385</v>
      </c>
      <c r="C524" s="178">
        <v>242088.13</v>
      </c>
      <c r="D524" s="178">
        <v>0</v>
      </c>
      <c r="E524" s="178">
        <v>242088.13</v>
      </c>
      <c r="F524" s="178">
        <v>0</v>
      </c>
      <c r="G524" s="178">
        <v>0</v>
      </c>
      <c r="H524" s="178">
        <v>242088.13</v>
      </c>
      <c r="I524" s="178">
        <v>242088.13</v>
      </c>
      <c r="J524" s="178" t="s">
        <v>497</v>
      </c>
    </row>
    <row r="525" spans="1:10">
      <c r="A525" s="178">
        <v>530</v>
      </c>
      <c r="B525" s="178" t="s">
        <v>386</v>
      </c>
      <c r="C525" s="178">
        <v>0</v>
      </c>
      <c r="D525" s="178">
        <v>0</v>
      </c>
      <c r="E525" s="178">
        <v>0</v>
      </c>
      <c r="F525" s="178">
        <v>0</v>
      </c>
      <c r="G525" s="178">
        <v>0</v>
      </c>
      <c r="H525" s="178">
        <v>0</v>
      </c>
      <c r="I525" s="178">
        <v>0</v>
      </c>
      <c r="J525" s="178" t="s">
        <v>497</v>
      </c>
    </row>
    <row r="526" spans="1:10">
      <c r="A526" s="178">
        <v>540</v>
      </c>
      <c r="B526" s="178" t="s">
        <v>387</v>
      </c>
      <c r="C526" s="178">
        <v>0</v>
      </c>
      <c r="D526" s="178">
        <v>0</v>
      </c>
      <c r="E526" s="178">
        <v>0</v>
      </c>
      <c r="F526" s="178">
        <v>0</v>
      </c>
      <c r="G526" s="178">
        <v>0</v>
      </c>
      <c r="H526" s="178">
        <v>0</v>
      </c>
      <c r="I526" s="178">
        <v>0</v>
      </c>
      <c r="J526" s="178" t="s">
        <v>497</v>
      </c>
    </row>
    <row r="527" spans="1:10">
      <c r="A527" s="178">
        <v>600</v>
      </c>
      <c r="B527" s="178" t="s">
        <v>388</v>
      </c>
      <c r="C527" s="178">
        <v>242088.13</v>
      </c>
      <c r="D527" s="178">
        <v>0</v>
      </c>
      <c r="E527" s="178">
        <v>242088.13</v>
      </c>
      <c r="F527" s="178">
        <v>0</v>
      </c>
      <c r="G527" s="178">
        <v>0</v>
      </c>
      <c r="H527" s="178">
        <v>242088.13</v>
      </c>
      <c r="I527" s="178">
        <v>242088.13</v>
      </c>
      <c r="J527" s="178" t="s">
        <v>497</v>
      </c>
    </row>
    <row r="528" spans="1:10">
      <c r="A528" s="178">
        <v>610</v>
      </c>
      <c r="B528" s="178" t="s">
        <v>556</v>
      </c>
      <c r="C528" s="178">
        <v>0</v>
      </c>
      <c r="D528" s="178">
        <v>0</v>
      </c>
      <c r="E528" s="178">
        <v>0</v>
      </c>
      <c r="F528" s="178">
        <v>0</v>
      </c>
      <c r="G528" s="178">
        <v>0</v>
      </c>
      <c r="H528" s="178">
        <v>0</v>
      </c>
      <c r="I528" s="178">
        <v>0</v>
      </c>
      <c r="J528" s="178" t="s">
        <v>497</v>
      </c>
    </row>
    <row r="529" spans="1:10">
      <c r="A529" s="178">
        <v>620</v>
      </c>
      <c r="B529" s="178" t="s">
        <v>390</v>
      </c>
      <c r="C529" s="178">
        <v>0</v>
      </c>
      <c r="D529" s="178">
        <v>0</v>
      </c>
      <c r="E529" s="178">
        <v>0</v>
      </c>
      <c r="F529" s="178">
        <v>0</v>
      </c>
      <c r="G529" s="178">
        <v>0</v>
      </c>
      <c r="H529" s="178">
        <v>0</v>
      </c>
      <c r="I529" s="178">
        <v>0</v>
      </c>
      <c r="J529" s="178" t="s">
        <v>497</v>
      </c>
    </row>
    <row r="530" spans="1:10">
      <c r="A530" s="178">
        <v>700</v>
      </c>
      <c r="B530" s="178" t="s">
        <v>557</v>
      </c>
      <c r="C530" s="178">
        <v>0</v>
      </c>
      <c r="D530" s="178">
        <v>0</v>
      </c>
      <c r="E530" s="178">
        <v>0</v>
      </c>
      <c r="F530" s="178">
        <v>0</v>
      </c>
      <c r="G530" s="178">
        <v>0</v>
      </c>
      <c r="H530" s="178">
        <v>0</v>
      </c>
      <c r="I530" s="178">
        <v>0</v>
      </c>
      <c r="J530" s="178" t="s">
        <v>497</v>
      </c>
    </row>
    <row r="531" spans="1:10">
      <c r="A531" s="178">
        <v>710</v>
      </c>
      <c r="B531" s="178" t="s">
        <v>558</v>
      </c>
      <c r="C531" s="178">
        <v>0</v>
      </c>
      <c r="D531" s="178">
        <v>0</v>
      </c>
      <c r="E531" s="178">
        <v>0</v>
      </c>
      <c r="F531" s="178">
        <v>0</v>
      </c>
      <c r="G531" s="178">
        <v>0</v>
      </c>
      <c r="H531" s="178">
        <v>0</v>
      </c>
      <c r="I531" s="178">
        <v>0</v>
      </c>
      <c r="J531" s="178" t="s">
        <v>497</v>
      </c>
    </row>
    <row r="532" spans="1:10">
      <c r="A532" s="178">
        <v>720</v>
      </c>
      <c r="B532" s="178" t="s">
        <v>276</v>
      </c>
      <c r="C532" s="178">
        <v>15050000</v>
      </c>
      <c r="D532" s="178">
        <v>0</v>
      </c>
      <c r="E532" s="178">
        <v>15050000</v>
      </c>
      <c r="F532" s="178">
        <v>0</v>
      </c>
      <c r="G532" s="178">
        <v>0</v>
      </c>
      <c r="H532" s="178">
        <v>15050000</v>
      </c>
      <c r="I532" s="178">
        <v>15050000</v>
      </c>
      <c r="J532" s="178" t="s">
        <v>497</v>
      </c>
    </row>
    <row r="533" spans="1:10">
      <c r="A533" s="178">
        <v>730</v>
      </c>
      <c r="B533" s="178" t="s">
        <v>393</v>
      </c>
      <c r="C533" s="178">
        <v>0</v>
      </c>
      <c r="D533" s="178">
        <v>0</v>
      </c>
      <c r="E533" s="178">
        <v>0</v>
      </c>
      <c r="F533" s="178">
        <v>0</v>
      </c>
      <c r="G533" s="178">
        <v>0</v>
      </c>
      <c r="H533" s="178">
        <v>0</v>
      </c>
      <c r="I533" s="178">
        <v>0</v>
      </c>
      <c r="J533" s="178" t="s">
        <v>497</v>
      </c>
    </row>
    <row r="534" spans="1:10">
      <c r="A534" s="178">
        <v>740</v>
      </c>
      <c r="B534" s="178" t="s">
        <v>394</v>
      </c>
      <c r="C534" s="178">
        <v>-5946985.62</v>
      </c>
      <c r="D534" s="178">
        <v>0</v>
      </c>
      <c r="E534" s="178">
        <v>-5946985.62</v>
      </c>
      <c r="F534" s="178">
        <v>0</v>
      </c>
      <c r="G534" s="178">
        <v>0</v>
      </c>
      <c r="H534" s="178">
        <v>-5946985.62</v>
      </c>
      <c r="I534" s="178">
        <v>-5946985.62</v>
      </c>
      <c r="J534" s="178" t="s">
        <v>497</v>
      </c>
    </row>
    <row r="535" spans="1:10">
      <c r="A535" s="178">
        <v>750</v>
      </c>
      <c r="B535" s="178" t="s">
        <v>395</v>
      </c>
      <c r="C535" s="178">
        <v>-1253</v>
      </c>
      <c r="D535" s="178">
        <v>0</v>
      </c>
      <c r="E535" s="178">
        <v>-1253</v>
      </c>
      <c r="F535" s="178">
        <v>-1253</v>
      </c>
      <c r="G535" s="178">
        <v>-1253</v>
      </c>
      <c r="H535" s="178">
        <v>-9532683.55</v>
      </c>
      <c r="I535" s="178">
        <v>0</v>
      </c>
      <c r="J535" s="178" t="s">
        <v>497</v>
      </c>
    </row>
    <row r="536" spans="1:10">
      <c r="A536" s="178">
        <v>760</v>
      </c>
      <c r="B536" s="178" t="s">
        <v>396</v>
      </c>
      <c r="C536" s="178">
        <v>0</v>
      </c>
      <c r="D536" s="178">
        <v>0</v>
      </c>
      <c r="E536" s="178">
        <v>0</v>
      </c>
      <c r="F536" s="178">
        <v>0</v>
      </c>
      <c r="G536" s="178">
        <v>0</v>
      </c>
      <c r="H536" s="178">
        <v>0</v>
      </c>
      <c r="I536" s="178">
        <v>0</v>
      </c>
      <c r="J536" s="178" t="s">
        <v>497</v>
      </c>
    </row>
    <row r="537" spans="1:10">
      <c r="A537" s="178">
        <v>770</v>
      </c>
      <c r="B537" s="178" t="s">
        <v>397</v>
      </c>
      <c r="C537" s="178">
        <v>0</v>
      </c>
      <c r="D537" s="178">
        <v>0</v>
      </c>
      <c r="E537" s="178">
        <v>0</v>
      </c>
      <c r="F537" s="178">
        <v>0</v>
      </c>
      <c r="G537" s="178">
        <v>0</v>
      </c>
      <c r="H537" s="178">
        <v>0</v>
      </c>
      <c r="I537" s="178">
        <v>0</v>
      </c>
      <c r="J537" s="178" t="s">
        <v>497</v>
      </c>
    </row>
    <row r="538" spans="1:10">
      <c r="A538" s="178">
        <v>800</v>
      </c>
      <c r="B538" s="178" t="s">
        <v>398</v>
      </c>
      <c r="C538" s="178">
        <v>9101761.38</v>
      </c>
      <c r="D538" s="178">
        <v>0</v>
      </c>
      <c r="E538" s="178">
        <v>9101761.38</v>
      </c>
      <c r="F538" s="178">
        <v>-1253</v>
      </c>
      <c r="G538" s="178">
        <v>-1253</v>
      </c>
      <c r="H538" s="178">
        <v>-429669.17</v>
      </c>
      <c r="I538" s="178">
        <v>9103014.38</v>
      </c>
      <c r="J538" s="178" t="s">
        <v>497</v>
      </c>
    </row>
    <row r="539" spans="1:10">
      <c r="A539" s="178">
        <v>900</v>
      </c>
      <c r="B539" s="178" t="s">
        <v>399</v>
      </c>
      <c r="C539" s="178">
        <v>9824004.58</v>
      </c>
      <c r="D539" s="178">
        <v>0</v>
      </c>
      <c r="E539" s="178">
        <v>9824004.58</v>
      </c>
      <c r="F539" s="178">
        <v>-1253</v>
      </c>
      <c r="G539" s="178">
        <v>-1253</v>
      </c>
      <c r="H539" s="178">
        <v>292574.03</v>
      </c>
      <c r="I539" s="178">
        <v>9825257.58</v>
      </c>
      <c r="J539" s="178" t="s">
        <v>497</v>
      </c>
    </row>
    <row r="540" spans="1:10">
      <c r="A540" s="178">
        <v>1000</v>
      </c>
      <c r="B540" s="178" t="s">
        <v>559</v>
      </c>
      <c r="C540" s="178">
        <v>-9532683.55</v>
      </c>
      <c r="D540" s="178">
        <v>0</v>
      </c>
      <c r="E540" s="178">
        <v>-9532683.55</v>
      </c>
      <c r="F540" s="178">
        <v>0</v>
      </c>
      <c r="G540" s="178">
        <v>0</v>
      </c>
      <c r="H540" s="178">
        <v>0</v>
      </c>
      <c r="I540" s="178">
        <v>-9532683.55</v>
      </c>
      <c r="J540" s="178" t="s">
        <v>497</v>
      </c>
    </row>
    <row r="541" spans="1:10">
      <c r="A541" s="178" t="s">
        <v>443</v>
      </c>
      <c r="B541" s="178" t="s">
        <v>402</v>
      </c>
      <c r="C541" s="178" t="s">
        <v>538</v>
      </c>
      <c r="D541" s="178" t="s">
        <v>539</v>
      </c>
      <c r="E541" s="178" t="s">
        <v>540</v>
      </c>
      <c r="F541" s="178" t="s">
        <v>541</v>
      </c>
      <c r="G541" s="178" t="s">
        <v>542</v>
      </c>
      <c r="H541" s="178" t="s">
        <v>543</v>
      </c>
      <c r="I541" s="178" t="s">
        <v>544</v>
      </c>
      <c r="J541" s="178" t="s">
        <v>405</v>
      </c>
    </row>
    <row r="542" spans="1:10">
      <c r="A542" s="178">
        <v>10</v>
      </c>
      <c r="B542" s="178" t="s">
        <v>545</v>
      </c>
      <c r="C542" s="178">
        <v>0</v>
      </c>
      <c r="D542" s="178">
        <v>0</v>
      </c>
      <c r="E542" s="178">
        <v>0</v>
      </c>
      <c r="F542" s="178">
        <v>0</v>
      </c>
      <c r="G542" s="178">
        <v>0</v>
      </c>
      <c r="H542" s="178">
        <v>0</v>
      </c>
      <c r="I542" s="178">
        <v>0</v>
      </c>
      <c r="J542" s="178" t="s">
        <v>497</v>
      </c>
    </row>
    <row r="543" spans="1:10">
      <c r="A543" s="178">
        <v>20</v>
      </c>
      <c r="B543" s="178" t="s">
        <v>359</v>
      </c>
      <c r="C543" s="178">
        <v>7516138.01</v>
      </c>
      <c r="D543" s="178">
        <v>0</v>
      </c>
      <c r="E543" s="178">
        <v>7516138.01</v>
      </c>
      <c r="F543" s="178">
        <v>5813173.86</v>
      </c>
      <c r="G543" s="178">
        <v>5813173.86</v>
      </c>
      <c r="H543" s="178">
        <v>1702964.15</v>
      </c>
      <c r="I543" s="178">
        <v>1702964.15</v>
      </c>
      <c r="J543" s="178" t="s">
        <v>497</v>
      </c>
    </row>
    <row r="544" spans="1:10">
      <c r="A544" s="178">
        <v>30</v>
      </c>
      <c r="B544" s="178" t="s">
        <v>360</v>
      </c>
      <c r="C544" s="178">
        <v>136613.64</v>
      </c>
      <c r="D544" s="178">
        <v>0</v>
      </c>
      <c r="E544" s="178">
        <v>136613.64</v>
      </c>
      <c r="F544" s="178">
        <v>-692211.62</v>
      </c>
      <c r="G544" s="178">
        <v>-692211.62</v>
      </c>
      <c r="H544" s="178">
        <v>828825.26</v>
      </c>
      <c r="I544" s="178">
        <v>828825.26</v>
      </c>
      <c r="J544" s="178" t="s">
        <v>497</v>
      </c>
    </row>
    <row r="545" spans="1:10">
      <c r="A545" s="178">
        <v>40</v>
      </c>
      <c r="B545" s="178" t="s">
        <v>266</v>
      </c>
      <c r="C545" s="178">
        <v>5644685.79</v>
      </c>
      <c r="D545" s="178">
        <v>0</v>
      </c>
      <c r="E545" s="178">
        <v>5644685.79</v>
      </c>
      <c r="F545" s="178">
        <v>0</v>
      </c>
      <c r="G545" s="178">
        <v>0</v>
      </c>
      <c r="H545" s="178">
        <v>5644685.79</v>
      </c>
      <c r="I545" s="178">
        <v>5644685.79</v>
      </c>
      <c r="J545" s="178" t="s">
        <v>497</v>
      </c>
    </row>
    <row r="546" spans="1:10">
      <c r="A546" s="178">
        <v>50</v>
      </c>
      <c r="B546" s="178" t="s">
        <v>267</v>
      </c>
      <c r="C546" s="178">
        <v>117741295.71</v>
      </c>
      <c r="D546" s="178">
        <v>0</v>
      </c>
      <c r="E546" s="178">
        <v>117741295.71</v>
      </c>
      <c r="F546" s="178">
        <v>26117539.1</v>
      </c>
      <c r="G546" s="178">
        <v>26117539.1</v>
      </c>
      <c r="H546" s="178">
        <v>91623756.61</v>
      </c>
      <c r="I546" s="178">
        <v>91623756.61</v>
      </c>
      <c r="J546" s="178" t="s">
        <v>497</v>
      </c>
    </row>
    <row r="547" spans="1:10">
      <c r="A547" s="178">
        <v>60</v>
      </c>
      <c r="B547" s="178" t="s">
        <v>268</v>
      </c>
      <c r="C547" s="178">
        <v>0</v>
      </c>
      <c r="D547" s="178">
        <v>0</v>
      </c>
      <c r="E547" s="178">
        <v>0</v>
      </c>
      <c r="F547" s="178">
        <v>0</v>
      </c>
      <c r="G547" s="178">
        <v>0</v>
      </c>
      <c r="H547" s="178">
        <v>0</v>
      </c>
      <c r="I547" s="178">
        <v>0</v>
      </c>
      <c r="J547" s="178" t="s">
        <v>497</v>
      </c>
    </row>
    <row r="548" spans="1:10">
      <c r="A548" s="178">
        <v>70</v>
      </c>
      <c r="B548" s="178" t="s">
        <v>269</v>
      </c>
      <c r="C548" s="178">
        <v>1072434.74</v>
      </c>
      <c r="D548" s="178">
        <v>0</v>
      </c>
      <c r="E548" s="178">
        <v>1072434.74</v>
      </c>
      <c r="F548" s="178">
        <v>58.87</v>
      </c>
      <c r="G548" s="178">
        <v>58.87</v>
      </c>
      <c r="H548" s="178">
        <v>1072375.87</v>
      </c>
      <c r="I548" s="178">
        <v>1072375.87</v>
      </c>
      <c r="J548" s="178" t="s">
        <v>497</v>
      </c>
    </row>
    <row r="549" spans="1:10">
      <c r="A549" s="178">
        <v>80</v>
      </c>
      <c r="B549" s="178" t="s">
        <v>560</v>
      </c>
      <c r="C549" s="178">
        <v>1539218.78</v>
      </c>
      <c r="D549" s="178">
        <v>0</v>
      </c>
      <c r="E549" s="178">
        <v>1539218.78</v>
      </c>
      <c r="F549" s="178">
        <v>-11794.71</v>
      </c>
      <c r="G549" s="178">
        <v>-11794.71</v>
      </c>
      <c r="H549" s="178">
        <v>1551013.49</v>
      </c>
      <c r="I549" s="178">
        <v>1551013.49</v>
      </c>
      <c r="J549" s="178" t="s">
        <v>497</v>
      </c>
    </row>
    <row r="550" spans="1:10">
      <c r="A550" s="178">
        <v>100</v>
      </c>
      <c r="B550" s="178" t="s">
        <v>547</v>
      </c>
      <c r="C550" s="178">
        <v>133650386.67</v>
      </c>
      <c r="D550" s="178">
        <v>0</v>
      </c>
      <c r="E550" s="178">
        <v>133650386.67</v>
      </c>
      <c r="F550" s="178">
        <v>31226765.5</v>
      </c>
      <c r="G550" s="178">
        <v>31226765.5</v>
      </c>
      <c r="H550" s="178">
        <v>102423621.17</v>
      </c>
      <c r="I550" s="178">
        <v>102423621.17</v>
      </c>
      <c r="J550" s="178" t="s">
        <v>497</v>
      </c>
    </row>
    <row r="551" spans="1:10">
      <c r="A551" s="178">
        <v>110</v>
      </c>
      <c r="B551" s="178" t="s">
        <v>548</v>
      </c>
      <c r="C551" s="178">
        <v>0</v>
      </c>
      <c r="D551" s="178">
        <v>0</v>
      </c>
      <c r="E551" s="178">
        <v>0</v>
      </c>
      <c r="F551" s="178">
        <v>0</v>
      </c>
      <c r="G551" s="178">
        <v>0</v>
      </c>
      <c r="H551" s="178">
        <v>0</v>
      </c>
      <c r="I551" s="178">
        <v>0</v>
      </c>
      <c r="J551" s="178" t="s">
        <v>497</v>
      </c>
    </row>
    <row r="552" spans="1:10">
      <c r="A552" s="178">
        <v>120</v>
      </c>
      <c r="B552" s="178" t="s">
        <v>322</v>
      </c>
      <c r="C552" s="178">
        <v>0</v>
      </c>
      <c r="D552" s="178">
        <v>0</v>
      </c>
      <c r="E552" s="178">
        <v>0</v>
      </c>
      <c r="F552" s="178">
        <v>0</v>
      </c>
      <c r="G552" s="178">
        <v>0</v>
      </c>
      <c r="H552" s="178">
        <v>0</v>
      </c>
      <c r="I552" s="178">
        <v>0</v>
      </c>
      <c r="J552" s="178" t="s">
        <v>497</v>
      </c>
    </row>
    <row r="553" spans="1:10">
      <c r="A553" s="178">
        <v>130</v>
      </c>
      <c r="B553" s="178" t="s">
        <v>282</v>
      </c>
      <c r="C553" s="178">
        <v>0</v>
      </c>
      <c r="D553" s="178">
        <v>0</v>
      </c>
      <c r="E553" s="178">
        <v>0</v>
      </c>
      <c r="F553" s="178">
        <v>0</v>
      </c>
      <c r="G553" s="178">
        <v>0</v>
      </c>
      <c r="H553" s="178">
        <v>0</v>
      </c>
      <c r="I553" s="178">
        <v>0</v>
      </c>
      <c r="J553" s="178" t="s">
        <v>497</v>
      </c>
    </row>
    <row r="554" spans="1:10">
      <c r="A554" s="178">
        <v>140</v>
      </c>
      <c r="B554" s="178" t="s">
        <v>364</v>
      </c>
      <c r="C554" s="178">
        <v>529.58</v>
      </c>
      <c r="D554" s="178">
        <v>0</v>
      </c>
      <c r="E554" s="178">
        <v>529.58</v>
      </c>
      <c r="F554" s="178">
        <v>0</v>
      </c>
      <c r="G554" s="178">
        <v>0</v>
      </c>
      <c r="H554" s="178">
        <v>529.58</v>
      </c>
      <c r="I554" s="178">
        <v>529.58</v>
      </c>
      <c r="J554" s="178" t="s">
        <v>497</v>
      </c>
    </row>
    <row r="555" spans="1:10">
      <c r="A555" s="178">
        <v>150</v>
      </c>
      <c r="B555" s="178" t="s">
        <v>285</v>
      </c>
      <c r="C555" s="178">
        <v>0</v>
      </c>
      <c r="D555" s="178">
        <v>0</v>
      </c>
      <c r="E555" s="178">
        <v>0</v>
      </c>
      <c r="F555" s="178">
        <v>0</v>
      </c>
      <c r="G555" s="178">
        <v>0</v>
      </c>
      <c r="H555" s="178">
        <v>0</v>
      </c>
      <c r="I555" s="178">
        <v>0</v>
      </c>
      <c r="J555" s="178" t="s">
        <v>497</v>
      </c>
    </row>
    <row r="556" spans="1:10">
      <c r="A556" s="178">
        <v>160</v>
      </c>
      <c r="B556" s="178" t="s">
        <v>284</v>
      </c>
      <c r="C556" s="178">
        <v>0</v>
      </c>
      <c r="D556" s="178">
        <v>0</v>
      </c>
      <c r="E556" s="178">
        <v>0</v>
      </c>
      <c r="F556" s="178">
        <v>0</v>
      </c>
      <c r="G556" s="178">
        <v>0</v>
      </c>
      <c r="H556" s="178">
        <v>0</v>
      </c>
      <c r="I556" s="178">
        <v>0</v>
      </c>
      <c r="J556" s="178" t="s">
        <v>497</v>
      </c>
    </row>
    <row r="557" spans="1:10">
      <c r="A557" s="178">
        <v>170</v>
      </c>
      <c r="B557" s="178" t="s">
        <v>283</v>
      </c>
      <c r="C557" s="178">
        <v>0</v>
      </c>
      <c r="D557" s="178">
        <v>0</v>
      </c>
      <c r="E557" s="178">
        <v>0</v>
      </c>
      <c r="F557" s="178">
        <v>0</v>
      </c>
      <c r="G557" s="178">
        <v>0</v>
      </c>
      <c r="H557" s="178">
        <v>0</v>
      </c>
      <c r="I557" s="178">
        <v>0</v>
      </c>
      <c r="J557" s="178" t="s">
        <v>497</v>
      </c>
    </row>
    <row r="558" spans="1:10">
      <c r="A558" s="178">
        <v>180</v>
      </c>
      <c r="B558" s="178" t="s">
        <v>366</v>
      </c>
      <c r="C558" s="178">
        <v>0</v>
      </c>
      <c r="D558" s="178">
        <v>0</v>
      </c>
      <c r="E558" s="178">
        <v>0</v>
      </c>
      <c r="F558" s="178">
        <v>0</v>
      </c>
      <c r="G558" s="178">
        <v>0</v>
      </c>
      <c r="H558" s="178">
        <v>0</v>
      </c>
      <c r="I558" s="178">
        <v>0</v>
      </c>
      <c r="J558" s="178" t="s">
        <v>497</v>
      </c>
    </row>
    <row r="559" spans="1:10">
      <c r="A559" s="178">
        <v>190</v>
      </c>
      <c r="B559" s="178" t="s">
        <v>367</v>
      </c>
      <c r="C559" s="178">
        <v>-529.58</v>
      </c>
      <c r="D559" s="178">
        <v>0</v>
      </c>
      <c r="E559" s="178">
        <v>-529.58</v>
      </c>
      <c r="F559" s="178">
        <v>0</v>
      </c>
      <c r="G559" s="178">
        <v>0</v>
      </c>
      <c r="H559" s="178">
        <v>-529.58</v>
      </c>
      <c r="I559" s="178">
        <v>-529.58</v>
      </c>
      <c r="J559" s="178" t="s">
        <v>497</v>
      </c>
    </row>
    <row r="560" spans="1:10">
      <c r="A560" s="178">
        <v>200</v>
      </c>
      <c r="B560" s="178" t="s">
        <v>368</v>
      </c>
      <c r="C560" s="178">
        <v>0</v>
      </c>
      <c r="D560" s="178">
        <v>0</v>
      </c>
      <c r="E560" s="178">
        <v>0</v>
      </c>
      <c r="F560" s="178">
        <v>0</v>
      </c>
      <c r="G560" s="178">
        <v>0</v>
      </c>
      <c r="H560" s="178">
        <v>0</v>
      </c>
      <c r="I560" s="178">
        <v>0</v>
      </c>
      <c r="J560" s="178" t="s">
        <v>497</v>
      </c>
    </row>
    <row r="561" spans="1:10">
      <c r="A561" s="178">
        <v>210</v>
      </c>
      <c r="B561" s="178" t="s">
        <v>549</v>
      </c>
      <c r="C561" s="178">
        <v>0</v>
      </c>
      <c r="D561" s="178">
        <v>0</v>
      </c>
      <c r="E561" s="178">
        <v>0</v>
      </c>
      <c r="F561" s="178">
        <v>0</v>
      </c>
      <c r="G561" s="178">
        <v>0</v>
      </c>
      <c r="H561" s="178">
        <v>0</v>
      </c>
      <c r="I561" s="178">
        <v>0</v>
      </c>
      <c r="J561" s="178" t="s">
        <v>497</v>
      </c>
    </row>
    <row r="562" spans="1:10">
      <c r="A562" s="178">
        <v>220</v>
      </c>
      <c r="B562" s="178" t="s">
        <v>370</v>
      </c>
      <c r="C562" s="178">
        <v>0</v>
      </c>
      <c r="D562" s="178">
        <v>0</v>
      </c>
      <c r="E562" s="178">
        <v>0</v>
      </c>
      <c r="F562" s="178">
        <v>0</v>
      </c>
      <c r="G562" s="178">
        <v>0</v>
      </c>
      <c r="H562" s="178">
        <v>0</v>
      </c>
      <c r="I562" s="178">
        <v>0</v>
      </c>
      <c r="J562" s="178" t="s">
        <v>497</v>
      </c>
    </row>
    <row r="563" spans="1:10">
      <c r="A563" s="178">
        <v>230</v>
      </c>
      <c r="B563" s="178" t="s">
        <v>371</v>
      </c>
      <c r="C563" s="178">
        <v>0</v>
      </c>
      <c r="D563" s="178">
        <v>0</v>
      </c>
      <c r="E563" s="178">
        <v>0</v>
      </c>
      <c r="F563" s="178">
        <v>0</v>
      </c>
      <c r="G563" s="178">
        <v>0</v>
      </c>
      <c r="H563" s="178">
        <v>0</v>
      </c>
      <c r="I563" s="178">
        <v>0</v>
      </c>
      <c r="J563" s="178" t="s">
        <v>497</v>
      </c>
    </row>
    <row r="564" spans="1:10">
      <c r="A564" s="178">
        <v>240</v>
      </c>
      <c r="B564" s="178" t="s">
        <v>372</v>
      </c>
      <c r="C564" s="178">
        <v>0</v>
      </c>
      <c r="D564" s="178">
        <v>0</v>
      </c>
      <c r="E564" s="178">
        <v>0</v>
      </c>
      <c r="F564" s="178">
        <v>0</v>
      </c>
      <c r="G564" s="178">
        <v>0</v>
      </c>
      <c r="H564" s="178">
        <v>0</v>
      </c>
      <c r="I564" s="178">
        <v>0</v>
      </c>
      <c r="J564" s="178" t="s">
        <v>497</v>
      </c>
    </row>
    <row r="565" spans="1:10">
      <c r="A565" s="178">
        <v>250</v>
      </c>
      <c r="B565" s="178" t="s">
        <v>373</v>
      </c>
      <c r="C565" s="178">
        <v>0</v>
      </c>
      <c r="D565" s="178">
        <v>0</v>
      </c>
      <c r="E565" s="178">
        <v>0</v>
      </c>
      <c r="F565" s="178">
        <v>0</v>
      </c>
      <c r="G565" s="178">
        <v>0</v>
      </c>
      <c r="H565" s="178">
        <v>0</v>
      </c>
      <c r="I565" s="178">
        <v>0</v>
      </c>
      <c r="J565" s="178" t="s">
        <v>497</v>
      </c>
    </row>
    <row r="566" spans="1:10">
      <c r="A566" s="178">
        <v>260</v>
      </c>
      <c r="B566" s="178" t="s">
        <v>374</v>
      </c>
      <c r="C566" s="178">
        <v>0</v>
      </c>
      <c r="D566" s="178">
        <v>0</v>
      </c>
      <c r="E566" s="178">
        <v>0</v>
      </c>
      <c r="F566" s="178">
        <v>0</v>
      </c>
      <c r="G566" s="178">
        <v>0</v>
      </c>
      <c r="H566" s="178">
        <v>0</v>
      </c>
      <c r="I566" s="178">
        <v>0</v>
      </c>
      <c r="J566" s="178" t="s">
        <v>497</v>
      </c>
    </row>
    <row r="567" spans="1:10">
      <c r="A567" s="178">
        <v>270</v>
      </c>
      <c r="B567" s="178" t="s">
        <v>375</v>
      </c>
      <c r="C567" s="178">
        <v>738597960.72</v>
      </c>
      <c r="D567" s="178">
        <v>0</v>
      </c>
      <c r="E567" s="178">
        <v>738597960.72</v>
      </c>
      <c r="F567" s="178">
        <v>0</v>
      </c>
      <c r="G567" s="178">
        <v>0</v>
      </c>
      <c r="H567" s="178">
        <v>738597960.72</v>
      </c>
      <c r="I567" s="178">
        <v>738597960.72</v>
      </c>
      <c r="J567" s="178" t="s">
        <v>497</v>
      </c>
    </row>
    <row r="568" spans="1:10">
      <c r="A568" s="178">
        <v>280</v>
      </c>
      <c r="B568" s="178" t="s">
        <v>550</v>
      </c>
      <c r="C568" s="178">
        <v>738597960.72</v>
      </c>
      <c r="D568" s="178">
        <v>0</v>
      </c>
      <c r="E568" s="178">
        <v>738597960.72</v>
      </c>
      <c r="F568" s="178">
        <v>0</v>
      </c>
      <c r="G568" s="178">
        <v>0</v>
      </c>
      <c r="H568" s="178">
        <v>738597960.72</v>
      </c>
      <c r="I568" s="178">
        <v>738597960.72</v>
      </c>
      <c r="J568" s="178" t="s">
        <v>497</v>
      </c>
    </row>
    <row r="569" spans="1:10">
      <c r="A569" s="178">
        <v>400</v>
      </c>
      <c r="B569" s="178" t="s">
        <v>377</v>
      </c>
      <c r="C569" s="178">
        <v>872248347.39</v>
      </c>
      <c r="D569" s="178">
        <v>0</v>
      </c>
      <c r="E569" s="178">
        <v>872248347.39</v>
      </c>
      <c r="F569" s="178">
        <v>31226765.5</v>
      </c>
      <c r="G569" s="178">
        <v>31226765.5</v>
      </c>
      <c r="H569" s="178">
        <v>841021581.89</v>
      </c>
      <c r="I569" s="178">
        <v>841021581.89</v>
      </c>
      <c r="J569" s="178" t="s">
        <v>497</v>
      </c>
    </row>
    <row r="570" spans="1:10">
      <c r="A570" s="178">
        <v>410</v>
      </c>
      <c r="B570" s="178" t="s">
        <v>551</v>
      </c>
      <c r="C570" s="178">
        <v>0</v>
      </c>
      <c r="D570" s="178">
        <v>0</v>
      </c>
      <c r="E570" s="178">
        <v>0</v>
      </c>
      <c r="F570" s="178">
        <v>0</v>
      </c>
      <c r="G570" s="178">
        <v>0</v>
      </c>
      <c r="H570" s="178">
        <v>0</v>
      </c>
      <c r="I570" s="178">
        <v>0</v>
      </c>
      <c r="J570" s="178" t="s">
        <v>497</v>
      </c>
    </row>
    <row r="571" spans="1:10">
      <c r="A571" s="178">
        <v>420</v>
      </c>
      <c r="B571" s="178" t="s">
        <v>270</v>
      </c>
      <c r="C571" s="178">
        <v>0</v>
      </c>
      <c r="D571" s="178">
        <v>0</v>
      </c>
      <c r="E571" s="178">
        <v>0</v>
      </c>
      <c r="F571" s="178">
        <v>0</v>
      </c>
      <c r="G571" s="178">
        <v>0</v>
      </c>
      <c r="H571" s="178">
        <v>0</v>
      </c>
      <c r="I571" s="178">
        <v>0</v>
      </c>
      <c r="J571" s="178" t="s">
        <v>497</v>
      </c>
    </row>
    <row r="572" spans="1:10">
      <c r="A572" s="178">
        <v>430</v>
      </c>
      <c r="B572" s="178" t="s">
        <v>379</v>
      </c>
      <c r="C572" s="178">
        <v>171956888.45</v>
      </c>
      <c r="D572" s="178">
        <v>0</v>
      </c>
      <c r="E572" s="178">
        <v>171956888.45</v>
      </c>
      <c r="F572" s="178">
        <v>29521555.05</v>
      </c>
      <c r="G572" s="178">
        <v>29521555.05</v>
      </c>
      <c r="H572" s="178">
        <v>142435333.4</v>
      </c>
      <c r="I572" s="178">
        <v>142435333.4</v>
      </c>
      <c r="J572" s="178" t="s">
        <v>497</v>
      </c>
    </row>
    <row r="573" spans="1:10">
      <c r="A573" s="178">
        <v>440</v>
      </c>
      <c r="B573" s="178" t="s">
        <v>380</v>
      </c>
      <c r="C573" s="178">
        <v>40994479.7</v>
      </c>
      <c r="D573" s="178">
        <v>0</v>
      </c>
      <c r="E573" s="178">
        <v>40994479.7</v>
      </c>
      <c r="F573" s="178">
        <v>324355.63</v>
      </c>
      <c r="G573" s="178">
        <v>324355.63</v>
      </c>
      <c r="H573" s="178">
        <v>40670124.07</v>
      </c>
      <c r="I573" s="178">
        <v>40670124.07</v>
      </c>
      <c r="J573" s="178" t="s">
        <v>497</v>
      </c>
    </row>
    <row r="574" spans="1:10">
      <c r="A574" s="178">
        <v>450</v>
      </c>
      <c r="B574" s="178" t="s">
        <v>381</v>
      </c>
      <c r="C574" s="178">
        <v>22739.74</v>
      </c>
      <c r="D574" s="178">
        <v>0</v>
      </c>
      <c r="E574" s="178">
        <v>22739.74</v>
      </c>
      <c r="F574" s="178">
        <v>1575.61</v>
      </c>
      <c r="G574" s="178">
        <v>1575.61</v>
      </c>
      <c r="H574" s="178">
        <v>21164.13</v>
      </c>
      <c r="I574" s="178">
        <v>21164.13</v>
      </c>
      <c r="J574" s="178" t="s">
        <v>497</v>
      </c>
    </row>
    <row r="575" spans="1:10">
      <c r="A575" s="178">
        <v>460</v>
      </c>
      <c r="B575" s="178" t="s">
        <v>553</v>
      </c>
      <c r="C575" s="178">
        <v>0</v>
      </c>
      <c r="D575" s="178">
        <v>0</v>
      </c>
      <c r="E575" s="178">
        <v>0</v>
      </c>
      <c r="F575" s="178">
        <v>0</v>
      </c>
      <c r="G575" s="178">
        <v>0</v>
      </c>
      <c r="H575" s="178">
        <v>0</v>
      </c>
      <c r="I575" s="178">
        <v>0</v>
      </c>
      <c r="J575" s="178" t="s">
        <v>497</v>
      </c>
    </row>
    <row r="576" spans="1:10">
      <c r="A576" s="178">
        <v>500</v>
      </c>
      <c r="B576" s="178" t="s">
        <v>383</v>
      </c>
      <c r="C576" s="178">
        <v>212974107.89</v>
      </c>
      <c r="D576" s="178">
        <v>0</v>
      </c>
      <c r="E576" s="178">
        <v>212974107.89</v>
      </c>
      <c r="F576" s="178">
        <v>29847486.29</v>
      </c>
      <c r="G576" s="178">
        <v>29847486.29</v>
      </c>
      <c r="H576" s="178">
        <v>183126621.6</v>
      </c>
      <c r="I576" s="178">
        <v>183126621.6</v>
      </c>
      <c r="J576" s="178" t="s">
        <v>497</v>
      </c>
    </row>
    <row r="577" spans="1:10">
      <c r="A577" s="178">
        <v>510</v>
      </c>
      <c r="B577" s="178" t="s">
        <v>554</v>
      </c>
      <c r="C577" s="178">
        <v>0</v>
      </c>
      <c r="D577" s="178">
        <v>0</v>
      </c>
      <c r="E577" s="178">
        <v>0</v>
      </c>
      <c r="F577" s="178">
        <v>0</v>
      </c>
      <c r="G577" s="178">
        <v>0</v>
      </c>
      <c r="H577" s="178">
        <v>0</v>
      </c>
      <c r="I577" s="178">
        <v>0</v>
      </c>
      <c r="J577" s="178" t="s">
        <v>497</v>
      </c>
    </row>
    <row r="578" spans="1:10">
      <c r="A578" s="178">
        <v>520</v>
      </c>
      <c r="B578" s="178" t="s">
        <v>385</v>
      </c>
      <c r="C578" s="178">
        <v>0</v>
      </c>
      <c r="D578" s="178">
        <v>0</v>
      </c>
      <c r="E578" s="178">
        <v>0</v>
      </c>
      <c r="F578" s="178">
        <v>0</v>
      </c>
      <c r="G578" s="178">
        <v>0</v>
      </c>
      <c r="H578" s="178">
        <v>0</v>
      </c>
      <c r="I578" s="178">
        <v>0</v>
      </c>
      <c r="J578" s="178" t="s">
        <v>497</v>
      </c>
    </row>
    <row r="579" spans="1:10">
      <c r="A579" s="178">
        <v>530</v>
      </c>
      <c r="B579" s="178" t="s">
        <v>386</v>
      </c>
      <c r="C579" s="178">
        <v>9349928.16</v>
      </c>
      <c r="D579" s="178">
        <v>0</v>
      </c>
      <c r="E579" s="178">
        <v>9349928.16</v>
      </c>
      <c r="F579" s="178">
        <v>-83720.26</v>
      </c>
      <c r="G579" s="178">
        <v>-83720.26</v>
      </c>
      <c r="H579" s="178">
        <v>9433648.42</v>
      </c>
      <c r="I579" s="178">
        <v>9433648.42</v>
      </c>
      <c r="J579" s="178" t="s">
        <v>497</v>
      </c>
    </row>
    <row r="580" spans="1:10">
      <c r="A580" s="178">
        <v>540</v>
      </c>
      <c r="B580" s="178" t="s">
        <v>387</v>
      </c>
      <c r="C580" s="178">
        <v>0</v>
      </c>
      <c r="D580" s="178">
        <v>0</v>
      </c>
      <c r="E580" s="178">
        <v>0</v>
      </c>
      <c r="F580" s="178">
        <v>0</v>
      </c>
      <c r="G580" s="178">
        <v>0</v>
      </c>
      <c r="H580" s="178">
        <v>0</v>
      </c>
      <c r="I580" s="178">
        <v>0</v>
      </c>
      <c r="J580" s="178" t="s">
        <v>497</v>
      </c>
    </row>
    <row r="581" spans="1:10">
      <c r="A581" s="178">
        <v>600</v>
      </c>
      <c r="B581" s="178" t="s">
        <v>388</v>
      </c>
      <c r="C581" s="178">
        <v>9349928.16</v>
      </c>
      <c r="D581" s="178">
        <v>0</v>
      </c>
      <c r="E581" s="178">
        <v>9349928.16</v>
      </c>
      <c r="F581" s="178">
        <v>-83720.26</v>
      </c>
      <c r="G581" s="178">
        <v>-83720.26</v>
      </c>
      <c r="H581" s="178">
        <v>9433648.42</v>
      </c>
      <c r="I581" s="178">
        <v>9433648.42</v>
      </c>
      <c r="J581" s="178" t="s">
        <v>497</v>
      </c>
    </row>
    <row r="582" spans="1:10">
      <c r="A582" s="178">
        <v>610</v>
      </c>
      <c r="B582" s="178" t="s">
        <v>556</v>
      </c>
      <c r="C582" s="178">
        <v>0</v>
      </c>
      <c r="D582" s="178">
        <v>0</v>
      </c>
      <c r="E582" s="178">
        <v>0</v>
      </c>
      <c r="F582" s="178">
        <v>0</v>
      </c>
      <c r="G582" s="178">
        <v>0</v>
      </c>
      <c r="H582" s="178">
        <v>0</v>
      </c>
      <c r="I582" s="178">
        <v>0</v>
      </c>
      <c r="J582" s="178" t="s">
        <v>497</v>
      </c>
    </row>
    <row r="583" spans="1:10">
      <c r="A583" s="178">
        <v>620</v>
      </c>
      <c r="B583" s="178" t="s">
        <v>390</v>
      </c>
      <c r="C583" s="178">
        <v>0</v>
      </c>
      <c r="D583" s="178">
        <v>0</v>
      </c>
      <c r="E583" s="178">
        <v>0</v>
      </c>
      <c r="F583" s="178">
        <v>0</v>
      </c>
      <c r="G583" s="178">
        <v>0</v>
      </c>
      <c r="H583" s="178">
        <v>0</v>
      </c>
      <c r="I583" s="178">
        <v>0</v>
      </c>
      <c r="J583" s="178" t="s">
        <v>497</v>
      </c>
    </row>
    <row r="584" spans="1:10">
      <c r="A584" s="178">
        <v>700</v>
      </c>
      <c r="B584" s="178" t="s">
        <v>557</v>
      </c>
      <c r="C584" s="178">
        <v>0</v>
      </c>
      <c r="D584" s="178">
        <v>0</v>
      </c>
      <c r="E584" s="178">
        <v>0</v>
      </c>
      <c r="F584" s="178">
        <v>0</v>
      </c>
      <c r="G584" s="178">
        <v>0</v>
      </c>
      <c r="H584" s="178">
        <v>0</v>
      </c>
      <c r="I584" s="178">
        <v>0</v>
      </c>
      <c r="J584" s="178" t="s">
        <v>497</v>
      </c>
    </row>
    <row r="585" spans="1:10">
      <c r="A585" s="178">
        <v>710</v>
      </c>
      <c r="B585" s="178" t="s">
        <v>558</v>
      </c>
      <c r="C585" s="178">
        <v>0</v>
      </c>
      <c r="D585" s="178">
        <v>0</v>
      </c>
      <c r="E585" s="178">
        <v>0</v>
      </c>
      <c r="F585" s="178">
        <v>0</v>
      </c>
      <c r="G585" s="178">
        <v>0</v>
      </c>
      <c r="H585" s="178">
        <v>0</v>
      </c>
      <c r="I585" s="178">
        <v>0</v>
      </c>
      <c r="J585" s="178" t="s">
        <v>497</v>
      </c>
    </row>
    <row r="586" spans="1:10">
      <c r="A586" s="178">
        <v>720</v>
      </c>
      <c r="B586" s="178" t="s">
        <v>276</v>
      </c>
      <c r="C586" s="178">
        <v>42189546.77</v>
      </c>
      <c r="D586" s="178">
        <v>0</v>
      </c>
      <c r="E586" s="178">
        <v>42189546.77</v>
      </c>
      <c r="F586" s="178">
        <v>0</v>
      </c>
      <c r="G586" s="178">
        <v>0</v>
      </c>
      <c r="H586" s="178">
        <v>42189546.77</v>
      </c>
      <c r="I586" s="178">
        <v>42189546.77</v>
      </c>
      <c r="J586" s="178" t="s">
        <v>497</v>
      </c>
    </row>
    <row r="587" spans="1:10">
      <c r="A587" s="178">
        <v>730</v>
      </c>
      <c r="B587" s="178" t="s">
        <v>393</v>
      </c>
      <c r="C587" s="178">
        <v>4604084.17</v>
      </c>
      <c r="D587" s="178">
        <v>0</v>
      </c>
      <c r="E587" s="178">
        <v>4604084.17</v>
      </c>
      <c r="F587" s="178">
        <v>0</v>
      </c>
      <c r="G587" s="178">
        <v>0</v>
      </c>
      <c r="H587" s="178">
        <v>4604084.17</v>
      </c>
      <c r="I587" s="178">
        <v>4604084.17</v>
      </c>
      <c r="J587" s="178" t="s">
        <v>497</v>
      </c>
    </row>
    <row r="588" spans="1:10">
      <c r="A588" s="178">
        <v>740</v>
      </c>
      <c r="B588" s="178" t="s">
        <v>394</v>
      </c>
      <c r="C588" s="178">
        <v>529840869.85</v>
      </c>
      <c r="D588" s="178">
        <v>0</v>
      </c>
      <c r="E588" s="178">
        <v>529840869.85</v>
      </c>
      <c r="F588" s="178">
        <v>0</v>
      </c>
      <c r="G588" s="178">
        <v>0</v>
      </c>
      <c r="H588" s="178">
        <v>508855047.61</v>
      </c>
      <c r="I588" s="178">
        <v>529840869.85</v>
      </c>
      <c r="J588" s="178" t="s">
        <v>497</v>
      </c>
    </row>
    <row r="589" spans="1:10">
      <c r="A589" s="178">
        <v>750</v>
      </c>
      <c r="B589" s="178" t="s">
        <v>395</v>
      </c>
      <c r="C589" s="178">
        <v>1462999.47</v>
      </c>
      <c r="D589" s="178">
        <v>0</v>
      </c>
      <c r="E589" s="178">
        <v>1462999.47</v>
      </c>
      <c r="F589" s="178">
        <v>1462999.47</v>
      </c>
      <c r="G589" s="178">
        <v>1462999.47</v>
      </c>
      <c r="H589" s="178">
        <v>20985822.24</v>
      </c>
      <c r="I589" s="178">
        <v>0</v>
      </c>
      <c r="J589" s="178" t="s">
        <v>497</v>
      </c>
    </row>
    <row r="590" spans="1:10">
      <c r="A590" s="178">
        <v>760</v>
      </c>
      <c r="B590" s="178" t="s">
        <v>396</v>
      </c>
      <c r="C590" s="178">
        <v>71826811.08</v>
      </c>
      <c r="D590" s="178">
        <v>0</v>
      </c>
      <c r="E590" s="178">
        <v>71826811.08</v>
      </c>
      <c r="F590" s="178">
        <v>0</v>
      </c>
      <c r="G590" s="178">
        <v>0</v>
      </c>
      <c r="H590" s="178">
        <v>71826811.08</v>
      </c>
      <c r="I590" s="178">
        <v>71826811.08</v>
      </c>
      <c r="J590" s="178" t="s">
        <v>497</v>
      </c>
    </row>
    <row r="591" spans="1:10">
      <c r="A591" s="178">
        <v>770</v>
      </c>
      <c r="B591" s="178" t="s">
        <v>397</v>
      </c>
      <c r="C591" s="178">
        <v>0</v>
      </c>
      <c r="D591" s="178">
        <v>0</v>
      </c>
      <c r="E591" s="178">
        <v>0</v>
      </c>
      <c r="F591" s="178">
        <v>0</v>
      </c>
      <c r="G591" s="178">
        <v>0</v>
      </c>
      <c r="H591" s="178">
        <v>0</v>
      </c>
      <c r="I591" s="178">
        <v>0</v>
      </c>
      <c r="J591" s="178" t="s">
        <v>497</v>
      </c>
    </row>
    <row r="592" spans="1:10">
      <c r="A592" s="178">
        <v>800</v>
      </c>
      <c r="B592" s="178" t="s">
        <v>398</v>
      </c>
      <c r="C592" s="178">
        <v>649924311.34</v>
      </c>
      <c r="D592" s="178">
        <v>0</v>
      </c>
      <c r="E592" s="178">
        <v>649924311.34</v>
      </c>
      <c r="F592" s="178">
        <v>1462999.47</v>
      </c>
      <c r="G592" s="178">
        <v>1462999.47</v>
      </c>
      <c r="H592" s="178">
        <v>648461311.87</v>
      </c>
      <c r="I592" s="178">
        <v>648461311.87</v>
      </c>
      <c r="J592" s="178" t="s">
        <v>497</v>
      </c>
    </row>
    <row r="593" spans="1:10">
      <c r="A593" s="178">
        <v>900</v>
      </c>
      <c r="B593" s="178" t="s">
        <v>399</v>
      </c>
      <c r="C593" s="178">
        <v>872248347.39</v>
      </c>
      <c r="D593" s="178">
        <v>0</v>
      </c>
      <c r="E593" s="178">
        <v>872248347.39</v>
      </c>
      <c r="F593" s="178">
        <v>31226765.5</v>
      </c>
      <c r="G593" s="178">
        <v>31226765.5</v>
      </c>
      <c r="H593" s="178">
        <v>841021581.89</v>
      </c>
      <c r="I593" s="178">
        <v>841021581.89</v>
      </c>
      <c r="J593" s="178" t="s">
        <v>497</v>
      </c>
    </row>
    <row r="594" spans="1:10">
      <c r="A594" s="178">
        <v>1000</v>
      </c>
      <c r="B594" s="178" t="s">
        <v>559</v>
      </c>
      <c r="C594" s="178">
        <v>0</v>
      </c>
      <c r="D594" s="178">
        <v>0</v>
      </c>
      <c r="E594" s="178">
        <v>0</v>
      </c>
      <c r="F594" s="178">
        <v>0</v>
      </c>
      <c r="G594" s="178">
        <v>0</v>
      </c>
      <c r="H594" s="178">
        <v>0</v>
      </c>
      <c r="I594" s="178">
        <v>0</v>
      </c>
      <c r="J594" s="178" t="s">
        <v>497</v>
      </c>
    </row>
    <row r="595" spans="1:10">
      <c r="A595" s="178" t="s">
        <v>444</v>
      </c>
      <c r="B595" s="178" t="s">
        <v>402</v>
      </c>
      <c r="C595" s="178" t="s">
        <v>538</v>
      </c>
      <c r="D595" s="178" t="s">
        <v>539</v>
      </c>
      <c r="E595" s="178" t="s">
        <v>540</v>
      </c>
      <c r="F595" s="178" t="s">
        <v>541</v>
      </c>
      <c r="G595" s="178" t="s">
        <v>542</v>
      </c>
      <c r="H595" s="178" t="s">
        <v>543</v>
      </c>
      <c r="I595" s="178" t="s">
        <v>544</v>
      </c>
      <c r="J595" s="178" t="s">
        <v>405</v>
      </c>
    </row>
    <row r="596" spans="1:10">
      <c r="A596" s="178">
        <v>10</v>
      </c>
      <c r="B596" s="178" t="s">
        <v>545</v>
      </c>
      <c r="C596" s="178">
        <v>0</v>
      </c>
      <c r="D596" s="178">
        <v>0</v>
      </c>
      <c r="E596" s="178">
        <v>0</v>
      </c>
      <c r="F596" s="178">
        <v>0</v>
      </c>
      <c r="G596" s="178">
        <v>0</v>
      </c>
      <c r="H596" s="178">
        <v>0</v>
      </c>
      <c r="I596" s="178">
        <v>0</v>
      </c>
      <c r="J596" s="178" t="s">
        <v>497</v>
      </c>
    </row>
    <row r="597" spans="1:10">
      <c r="A597" s="178">
        <v>20</v>
      </c>
      <c r="B597" s="178" t="s">
        <v>359</v>
      </c>
      <c r="C597" s="178">
        <v>1544898.17</v>
      </c>
      <c r="D597" s="178">
        <v>0</v>
      </c>
      <c r="E597" s="178">
        <v>1544898.17</v>
      </c>
      <c r="F597" s="178">
        <v>395927.54</v>
      </c>
      <c r="G597" s="178">
        <v>395927.54</v>
      </c>
      <c r="H597" s="178">
        <v>1148970.63</v>
      </c>
      <c r="I597" s="178">
        <v>1148970.63</v>
      </c>
      <c r="J597" s="178" t="s">
        <v>497</v>
      </c>
    </row>
    <row r="598" spans="1:10">
      <c r="A598" s="178">
        <v>30</v>
      </c>
      <c r="B598" s="178" t="s">
        <v>360</v>
      </c>
      <c r="C598" s="178">
        <v>0</v>
      </c>
      <c r="D598" s="178">
        <v>0</v>
      </c>
      <c r="E598" s="178">
        <v>0</v>
      </c>
      <c r="F598" s="178">
        <v>0</v>
      </c>
      <c r="G598" s="178">
        <v>0</v>
      </c>
      <c r="H598" s="178">
        <v>0</v>
      </c>
      <c r="I598" s="178">
        <v>0</v>
      </c>
      <c r="J598" s="178" t="s">
        <v>497</v>
      </c>
    </row>
    <row r="599" spans="1:10">
      <c r="A599" s="178">
        <v>40</v>
      </c>
      <c r="B599" s="178" t="s">
        <v>266</v>
      </c>
      <c r="C599" s="178">
        <v>9638880.72</v>
      </c>
      <c r="D599" s="178">
        <v>0</v>
      </c>
      <c r="E599" s="178">
        <v>9638880.72</v>
      </c>
      <c r="F599" s="178">
        <v>46676.77</v>
      </c>
      <c r="G599" s="178">
        <v>46676.77</v>
      </c>
      <c r="H599" s="178">
        <v>9592203.95</v>
      </c>
      <c r="I599" s="178">
        <v>9592203.95</v>
      </c>
      <c r="J599" s="178" t="s">
        <v>497</v>
      </c>
    </row>
    <row r="600" spans="1:10">
      <c r="A600" s="178">
        <v>50</v>
      </c>
      <c r="B600" s="178" t="s">
        <v>267</v>
      </c>
      <c r="C600" s="178">
        <v>3341263.75</v>
      </c>
      <c r="D600" s="178">
        <v>0</v>
      </c>
      <c r="E600" s="178">
        <v>3341263.75</v>
      </c>
      <c r="F600" s="178">
        <v>259767.33</v>
      </c>
      <c r="G600" s="178">
        <v>259767.33</v>
      </c>
      <c r="H600" s="178">
        <v>3081496.42</v>
      </c>
      <c r="I600" s="178">
        <v>3081496.42</v>
      </c>
      <c r="J600" s="178" t="s">
        <v>497</v>
      </c>
    </row>
    <row r="601" spans="1:10">
      <c r="A601" s="178">
        <v>60</v>
      </c>
      <c r="B601" s="178" t="s">
        <v>268</v>
      </c>
      <c r="C601" s="178">
        <v>0</v>
      </c>
      <c r="D601" s="178">
        <v>0</v>
      </c>
      <c r="E601" s="178">
        <v>0</v>
      </c>
      <c r="F601" s="178">
        <v>0</v>
      </c>
      <c r="G601" s="178">
        <v>0</v>
      </c>
      <c r="H601" s="178">
        <v>0</v>
      </c>
      <c r="I601" s="178">
        <v>0</v>
      </c>
      <c r="J601" s="178" t="s">
        <v>497</v>
      </c>
    </row>
    <row r="602" spans="1:10">
      <c r="A602" s="178">
        <v>70</v>
      </c>
      <c r="B602" s="178" t="s">
        <v>269</v>
      </c>
      <c r="C602" s="178">
        <v>1137650.41</v>
      </c>
      <c r="D602" s="178">
        <v>0</v>
      </c>
      <c r="E602" s="178">
        <v>1137650.41</v>
      </c>
      <c r="F602" s="178">
        <v>86855.36</v>
      </c>
      <c r="G602" s="178">
        <v>86855.36</v>
      </c>
      <c r="H602" s="178">
        <v>1050795.05</v>
      </c>
      <c r="I602" s="178">
        <v>1050795.05</v>
      </c>
      <c r="J602" s="178" t="s">
        <v>497</v>
      </c>
    </row>
    <row r="603" spans="1:10">
      <c r="A603" s="178">
        <v>80</v>
      </c>
      <c r="B603" s="178" t="s">
        <v>560</v>
      </c>
      <c r="C603" s="178">
        <v>29692.96</v>
      </c>
      <c r="D603" s="178">
        <v>0</v>
      </c>
      <c r="E603" s="178">
        <v>29692.96</v>
      </c>
      <c r="F603" s="178">
        <v>-26935.01</v>
      </c>
      <c r="G603" s="178">
        <v>-26935.01</v>
      </c>
      <c r="H603" s="178">
        <v>56627.97</v>
      </c>
      <c r="I603" s="178">
        <v>56627.97</v>
      </c>
      <c r="J603" s="178" t="s">
        <v>497</v>
      </c>
    </row>
    <row r="604" spans="1:10">
      <c r="A604" s="178">
        <v>100</v>
      </c>
      <c r="B604" s="178" t="s">
        <v>547</v>
      </c>
      <c r="C604" s="178">
        <v>15692386.01</v>
      </c>
      <c r="D604" s="178">
        <v>0</v>
      </c>
      <c r="E604" s="178">
        <v>15692386.01</v>
      </c>
      <c r="F604" s="178">
        <v>762291.99</v>
      </c>
      <c r="G604" s="178">
        <v>762291.99</v>
      </c>
      <c r="H604" s="178">
        <v>14930094.02</v>
      </c>
      <c r="I604" s="178">
        <v>14930094.02</v>
      </c>
      <c r="J604" s="178" t="s">
        <v>497</v>
      </c>
    </row>
    <row r="605" spans="1:10">
      <c r="A605" s="178">
        <v>110</v>
      </c>
      <c r="B605" s="178" t="s">
        <v>548</v>
      </c>
      <c r="C605" s="178">
        <v>0</v>
      </c>
      <c r="D605" s="178">
        <v>0</v>
      </c>
      <c r="E605" s="178">
        <v>0</v>
      </c>
      <c r="F605" s="178">
        <v>0</v>
      </c>
      <c r="G605" s="178">
        <v>0</v>
      </c>
      <c r="H605" s="178">
        <v>0</v>
      </c>
      <c r="I605" s="178">
        <v>0</v>
      </c>
      <c r="J605" s="178" t="s">
        <v>497</v>
      </c>
    </row>
    <row r="606" spans="1:10">
      <c r="A606" s="178">
        <v>120</v>
      </c>
      <c r="B606" s="178" t="s">
        <v>322</v>
      </c>
      <c r="C606" s="178">
        <v>0</v>
      </c>
      <c r="D606" s="178">
        <v>0</v>
      </c>
      <c r="E606" s="178">
        <v>0</v>
      </c>
      <c r="F606" s="178">
        <v>0</v>
      </c>
      <c r="G606" s="178">
        <v>0</v>
      </c>
      <c r="H606" s="178">
        <v>0</v>
      </c>
      <c r="I606" s="178">
        <v>0</v>
      </c>
      <c r="J606" s="178" t="s">
        <v>497</v>
      </c>
    </row>
    <row r="607" spans="1:10">
      <c r="A607" s="178">
        <v>130</v>
      </c>
      <c r="B607" s="178" t="s">
        <v>282</v>
      </c>
      <c r="C607" s="178">
        <v>267000</v>
      </c>
      <c r="D607" s="178">
        <v>0</v>
      </c>
      <c r="E607" s="178">
        <v>267000</v>
      </c>
      <c r="F607" s="178">
        <v>0</v>
      </c>
      <c r="G607" s="178">
        <v>0</v>
      </c>
      <c r="H607" s="178">
        <v>267000</v>
      </c>
      <c r="I607" s="178">
        <v>267000</v>
      </c>
      <c r="J607" s="178" t="s">
        <v>497</v>
      </c>
    </row>
    <row r="608" spans="1:10">
      <c r="A608" s="178">
        <v>140</v>
      </c>
      <c r="B608" s="178" t="s">
        <v>364</v>
      </c>
      <c r="C608" s="178">
        <v>597237.71</v>
      </c>
      <c r="D608" s="178">
        <v>0</v>
      </c>
      <c r="E608" s="178">
        <v>597237.71</v>
      </c>
      <c r="F608" s="178">
        <v>0</v>
      </c>
      <c r="G608" s="178">
        <v>0</v>
      </c>
      <c r="H608" s="178">
        <v>597237.71</v>
      </c>
      <c r="I608" s="178">
        <v>597237.71</v>
      </c>
      <c r="J608" s="178" t="s">
        <v>497</v>
      </c>
    </row>
    <row r="609" spans="1:10">
      <c r="A609" s="178">
        <v>150</v>
      </c>
      <c r="B609" s="178" t="s">
        <v>285</v>
      </c>
      <c r="C609" s="178">
        <v>1509675.48</v>
      </c>
      <c r="D609" s="178">
        <v>0</v>
      </c>
      <c r="E609" s="178">
        <v>1509675.48</v>
      </c>
      <c r="F609" s="178">
        <v>0</v>
      </c>
      <c r="G609" s="178">
        <v>0</v>
      </c>
      <c r="H609" s="178">
        <v>1509675.48</v>
      </c>
      <c r="I609" s="178">
        <v>1509675.48</v>
      </c>
      <c r="J609" s="178" t="s">
        <v>497</v>
      </c>
    </row>
    <row r="610" spans="1:10">
      <c r="A610" s="178">
        <v>160</v>
      </c>
      <c r="B610" s="178" t="s">
        <v>284</v>
      </c>
      <c r="C610" s="178">
        <v>889761.67</v>
      </c>
      <c r="D610" s="178">
        <v>0</v>
      </c>
      <c r="E610" s="178">
        <v>889761.67</v>
      </c>
      <c r="F610" s="178">
        <v>0</v>
      </c>
      <c r="G610" s="178">
        <v>0</v>
      </c>
      <c r="H610" s="178">
        <v>889761.67</v>
      </c>
      <c r="I610" s="178">
        <v>889761.67</v>
      </c>
      <c r="J610" s="178" t="s">
        <v>497</v>
      </c>
    </row>
    <row r="611" spans="1:10">
      <c r="A611" s="178">
        <v>170</v>
      </c>
      <c r="B611" s="178" t="s">
        <v>283</v>
      </c>
      <c r="C611" s="178">
        <v>0</v>
      </c>
      <c r="D611" s="178">
        <v>0</v>
      </c>
      <c r="E611" s="178">
        <v>0</v>
      </c>
      <c r="F611" s="178">
        <v>0</v>
      </c>
      <c r="G611" s="178">
        <v>0</v>
      </c>
      <c r="H611" s="178">
        <v>0</v>
      </c>
      <c r="I611" s="178">
        <v>0</v>
      </c>
      <c r="J611" s="178" t="s">
        <v>497</v>
      </c>
    </row>
    <row r="612" spans="1:10">
      <c r="A612" s="178">
        <v>180</v>
      </c>
      <c r="B612" s="178" t="s">
        <v>366</v>
      </c>
      <c r="C612" s="178">
        <v>0</v>
      </c>
      <c r="D612" s="178">
        <v>0</v>
      </c>
      <c r="E612" s="178">
        <v>0</v>
      </c>
      <c r="F612" s="178">
        <v>0</v>
      </c>
      <c r="G612" s="178">
        <v>0</v>
      </c>
      <c r="H612" s="178">
        <v>0</v>
      </c>
      <c r="I612" s="178">
        <v>0</v>
      </c>
      <c r="J612" s="178" t="s">
        <v>497</v>
      </c>
    </row>
    <row r="613" spans="1:10">
      <c r="A613" s="178">
        <v>190</v>
      </c>
      <c r="B613" s="178" t="s">
        <v>367</v>
      </c>
      <c r="C613" s="178">
        <v>-1637480.03</v>
      </c>
      <c r="D613" s="178">
        <v>0</v>
      </c>
      <c r="E613" s="178">
        <v>-1637480.03</v>
      </c>
      <c r="F613" s="178">
        <v>-19594.25</v>
      </c>
      <c r="G613" s="178">
        <v>-19594.25</v>
      </c>
      <c r="H613" s="178">
        <v>-1617885.78</v>
      </c>
      <c r="I613" s="178">
        <v>-1617885.78</v>
      </c>
      <c r="J613" s="178" t="s">
        <v>497</v>
      </c>
    </row>
    <row r="614" spans="1:10">
      <c r="A614" s="178">
        <v>200</v>
      </c>
      <c r="B614" s="178" t="s">
        <v>368</v>
      </c>
      <c r="C614" s="178">
        <v>1626194.83</v>
      </c>
      <c r="D614" s="178">
        <v>0</v>
      </c>
      <c r="E614" s="178">
        <v>1626194.83</v>
      </c>
      <c r="F614" s="178">
        <v>-19594.25</v>
      </c>
      <c r="G614" s="178">
        <v>-19594.25</v>
      </c>
      <c r="H614" s="178">
        <v>1645789.08</v>
      </c>
      <c r="I614" s="178">
        <v>1645789.08</v>
      </c>
      <c r="J614" s="178" t="s">
        <v>497</v>
      </c>
    </row>
    <row r="615" spans="1:10">
      <c r="A615" s="178">
        <v>210</v>
      </c>
      <c r="B615" s="178" t="s">
        <v>549</v>
      </c>
      <c r="C615" s="178">
        <v>0</v>
      </c>
      <c r="D615" s="178">
        <v>0</v>
      </c>
      <c r="E615" s="178">
        <v>0</v>
      </c>
      <c r="F615" s="178">
        <v>0</v>
      </c>
      <c r="G615" s="178">
        <v>0</v>
      </c>
      <c r="H615" s="178">
        <v>0</v>
      </c>
      <c r="I615" s="178">
        <v>0</v>
      </c>
      <c r="J615" s="178" t="s">
        <v>497</v>
      </c>
    </row>
    <row r="616" spans="1:10">
      <c r="A616" s="178">
        <v>220</v>
      </c>
      <c r="B616" s="178" t="s">
        <v>370</v>
      </c>
      <c r="C616" s="178">
        <v>0</v>
      </c>
      <c r="D616" s="178">
        <v>0</v>
      </c>
      <c r="E616" s="178">
        <v>0</v>
      </c>
      <c r="F616" s="178">
        <v>0</v>
      </c>
      <c r="G616" s="178">
        <v>0</v>
      </c>
      <c r="H616" s="178">
        <v>0</v>
      </c>
      <c r="I616" s="178">
        <v>0</v>
      </c>
      <c r="J616" s="178" t="s">
        <v>497</v>
      </c>
    </row>
    <row r="617" spans="1:10">
      <c r="A617" s="178">
        <v>230</v>
      </c>
      <c r="B617" s="178" t="s">
        <v>371</v>
      </c>
      <c r="C617" s="178">
        <v>0</v>
      </c>
      <c r="D617" s="178">
        <v>0</v>
      </c>
      <c r="E617" s="178">
        <v>0</v>
      </c>
      <c r="F617" s="178">
        <v>0</v>
      </c>
      <c r="G617" s="178">
        <v>0</v>
      </c>
      <c r="H617" s="178">
        <v>0</v>
      </c>
      <c r="I617" s="178">
        <v>0</v>
      </c>
      <c r="J617" s="178" t="s">
        <v>497</v>
      </c>
    </row>
    <row r="618" spans="1:10">
      <c r="A618" s="178">
        <v>240</v>
      </c>
      <c r="B618" s="178" t="s">
        <v>372</v>
      </c>
      <c r="C618" s="178">
        <v>0</v>
      </c>
      <c r="D618" s="178">
        <v>0</v>
      </c>
      <c r="E618" s="178">
        <v>0</v>
      </c>
      <c r="F618" s="178">
        <v>0</v>
      </c>
      <c r="G618" s="178">
        <v>0</v>
      </c>
      <c r="H618" s="178">
        <v>0</v>
      </c>
      <c r="I618" s="178">
        <v>0</v>
      </c>
      <c r="J618" s="178" t="s">
        <v>497</v>
      </c>
    </row>
    <row r="619" spans="1:10">
      <c r="A619" s="178">
        <v>250</v>
      </c>
      <c r="B619" s="178" t="s">
        <v>373</v>
      </c>
      <c r="C619" s="178">
        <v>0</v>
      </c>
      <c r="D619" s="178">
        <v>0</v>
      </c>
      <c r="E619" s="178">
        <v>0</v>
      </c>
      <c r="F619" s="178">
        <v>0</v>
      </c>
      <c r="G619" s="178">
        <v>0</v>
      </c>
      <c r="H619" s="178">
        <v>0</v>
      </c>
      <c r="I619" s="178">
        <v>0</v>
      </c>
      <c r="J619" s="178" t="s">
        <v>497</v>
      </c>
    </row>
    <row r="620" spans="1:10">
      <c r="A620" s="178">
        <v>260</v>
      </c>
      <c r="B620" s="178" t="s">
        <v>374</v>
      </c>
      <c r="C620" s="178">
        <v>0</v>
      </c>
      <c r="D620" s="178">
        <v>0</v>
      </c>
      <c r="E620" s="178">
        <v>0</v>
      </c>
      <c r="F620" s="178">
        <v>0</v>
      </c>
      <c r="G620" s="178">
        <v>0</v>
      </c>
      <c r="H620" s="178">
        <v>0</v>
      </c>
      <c r="I620" s="178">
        <v>0</v>
      </c>
      <c r="J620" s="178" t="s">
        <v>497</v>
      </c>
    </row>
    <row r="621" spans="1:10">
      <c r="A621" s="178">
        <v>270</v>
      </c>
      <c r="B621" s="178" t="s">
        <v>375</v>
      </c>
      <c r="C621" s="178">
        <v>0</v>
      </c>
      <c r="D621" s="178">
        <v>0</v>
      </c>
      <c r="E621" s="178">
        <v>0</v>
      </c>
      <c r="F621" s="178">
        <v>0</v>
      </c>
      <c r="G621" s="178">
        <v>0</v>
      </c>
      <c r="H621" s="178">
        <v>0</v>
      </c>
      <c r="I621" s="178">
        <v>0</v>
      </c>
      <c r="J621" s="178" t="s">
        <v>497</v>
      </c>
    </row>
    <row r="622" spans="1:10">
      <c r="A622" s="178">
        <v>280</v>
      </c>
      <c r="B622" s="178" t="s">
        <v>550</v>
      </c>
      <c r="C622" s="178">
        <v>0</v>
      </c>
      <c r="D622" s="178">
        <v>0</v>
      </c>
      <c r="E622" s="178">
        <v>0</v>
      </c>
      <c r="F622" s="178">
        <v>0</v>
      </c>
      <c r="G622" s="178">
        <v>0</v>
      </c>
      <c r="H622" s="178">
        <v>0</v>
      </c>
      <c r="I622" s="178">
        <v>0</v>
      </c>
      <c r="J622" s="178" t="s">
        <v>497</v>
      </c>
    </row>
    <row r="623" spans="1:10">
      <c r="A623" s="178">
        <v>400</v>
      </c>
      <c r="B623" s="178" t="s">
        <v>377</v>
      </c>
      <c r="C623" s="178">
        <v>17318580.84</v>
      </c>
      <c r="D623" s="178">
        <v>0</v>
      </c>
      <c r="E623" s="178">
        <v>17318580.84</v>
      </c>
      <c r="F623" s="178">
        <v>742697.74</v>
      </c>
      <c r="G623" s="178">
        <v>742697.74</v>
      </c>
      <c r="H623" s="178">
        <v>16575883.1</v>
      </c>
      <c r="I623" s="178">
        <v>16575883.1</v>
      </c>
      <c r="J623" s="178" t="s">
        <v>497</v>
      </c>
    </row>
    <row r="624" spans="1:10">
      <c r="A624" s="178">
        <v>410</v>
      </c>
      <c r="B624" s="178" t="s">
        <v>551</v>
      </c>
      <c r="C624" s="178">
        <v>0</v>
      </c>
      <c r="D624" s="178">
        <v>0</v>
      </c>
      <c r="E624" s="178">
        <v>0</v>
      </c>
      <c r="F624" s="178">
        <v>0</v>
      </c>
      <c r="G624" s="178">
        <v>0</v>
      </c>
      <c r="H624" s="178">
        <v>0</v>
      </c>
      <c r="I624" s="178">
        <v>0</v>
      </c>
      <c r="J624" s="178" t="s">
        <v>497</v>
      </c>
    </row>
    <row r="625" spans="1:10">
      <c r="A625" s="178">
        <v>420</v>
      </c>
      <c r="B625" s="178" t="s">
        <v>270</v>
      </c>
      <c r="C625" s="178">
        <v>0</v>
      </c>
      <c r="D625" s="178">
        <v>0</v>
      </c>
      <c r="E625" s="178">
        <v>0</v>
      </c>
      <c r="F625" s="178">
        <v>0</v>
      </c>
      <c r="G625" s="178">
        <v>0</v>
      </c>
      <c r="H625" s="178">
        <v>0</v>
      </c>
      <c r="I625" s="178">
        <v>0</v>
      </c>
      <c r="J625" s="178" t="s">
        <v>497</v>
      </c>
    </row>
    <row r="626" spans="1:10">
      <c r="A626" s="178">
        <v>430</v>
      </c>
      <c r="B626" s="178" t="s">
        <v>379</v>
      </c>
      <c r="C626" s="178">
        <v>9070258.7</v>
      </c>
      <c r="D626" s="178">
        <v>0</v>
      </c>
      <c r="E626" s="178">
        <v>9070258.7</v>
      </c>
      <c r="F626" s="178">
        <v>505462.53</v>
      </c>
      <c r="G626" s="178">
        <v>505462.53</v>
      </c>
      <c r="H626" s="178">
        <v>8564796.17</v>
      </c>
      <c r="I626" s="178">
        <v>8564796.17</v>
      </c>
      <c r="J626" s="178" t="s">
        <v>497</v>
      </c>
    </row>
    <row r="627" spans="1:10">
      <c r="A627" s="178">
        <v>440</v>
      </c>
      <c r="B627" s="178" t="s">
        <v>380</v>
      </c>
      <c r="C627" s="178">
        <v>670004.79</v>
      </c>
      <c r="D627" s="178">
        <v>0</v>
      </c>
      <c r="E627" s="178">
        <v>670004.79</v>
      </c>
      <c r="F627" s="178">
        <v>0</v>
      </c>
      <c r="G627" s="178">
        <v>0</v>
      </c>
      <c r="H627" s="178">
        <v>670004.79</v>
      </c>
      <c r="I627" s="178">
        <v>670004.79</v>
      </c>
      <c r="J627" s="178" t="s">
        <v>497</v>
      </c>
    </row>
    <row r="628" spans="1:10">
      <c r="A628" s="178">
        <v>450</v>
      </c>
      <c r="B628" s="178" t="s">
        <v>381</v>
      </c>
      <c r="C628" s="178">
        <v>3002873.09</v>
      </c>
      <c r="D628" s="178">
        <v>0</v>
      </c>
      <c r="E628" s="178">
        <v>3002873.09</v>
      </c>
      <c r="F628" s="178">
        <v>-581961.89</v>
      </c>
      <c r="G628" s="178">
        <v>-581961.89</v>
      </c>
      <c r="H628" s="178">
        <v>3584834.98</v>
      </c>
      <c r="I628" s="178">
        <v>3584834.98</v>
      </c>
      <c r="J628" s="178" t="s">
        <v>497</v>
      </c>
    </row>
    <row r="629" spans="1:10">
      <c r="A629" s="178">
        <v>460</v>
      </c>
      <c r="B629" s="178" t="s">
        <v>553</v>
      </c>
      <c r="C629" s="178">
        <v>0</v>
      </c>
      <c r="D629" s="178">
        <v>0</v>
      </c>
      <c r="E629" s="178">
        <v>0</v>
      </c>
      <c r="F629" s="178">
        <v>0</v>
      </c>
      <c r="G629" s="178">
        <v>0</v>
      </c>
      <c r="H629" s="178">
        <v>0</v>
      </c>
      <c r="I629" s="178">
        <v>0</v>
      </c>
      <c r="J629" s="178" t="s">
        <v>497</v>
      </c>
    </row>
    <row r="630" spans="1:10">
      <c r="A630" s="178">
        <v>500</v>
      </c>
      <c r="B630" s="178" t="s">
        <v>383</v>
      </c>
      <c r="C630" s="178">
        <v>12743136.58</v>
      </c>
      <c r="D630" s="178">
        <v>0</v>
      </c>
      <c r="E630" s="178">
        <v>12743136.58</v>
      </c>
      <c r="F630" s="178">
        <v>-76499.36</v>
      </c>
      <c r="G630" s="178">
        <v>-76499.36</v>
      </c>
      <c r="H630" s="178">
        <v>12819635.94</v>
      </c>
      <c r="I630" s="178">
        <v>12819635.94</v>
      </c>
      <c r="J630" s="178" t="s">
        <v>497</v>
      </c>
    </row>
    <row r="631" spans="1:10">
      <c r="A631" s="178">
        <v>510</v>
      </c>
      <c r="B631" s="178" t="s">
        <v>554</v>
      </c>
      <c r="C631" s="178">
        <v>0</v>
      </c>
      <c r="D631" s="178">
        <v>0</v>
      </c>
      <c r="E631" s="178">
        <v>0</v>
      </c>
      <c r="F631" s="178">
        <v>0</v>
      </c>
      <c r="G631" s="178">
        <v>0</v>
      </c>
      <c r="H631" s="178">
        <v>0</v>
      </c>
      <c r="I631" s="178">
        <v>0</v>
      </c>
      <c r="J631" s="178" t="s">
        <v>497</v>
      </c>
    </row>
    <row r="632" spans="1:10">
      <c r="A632" s="178">
        <v>520</v>
      </c>
      <c r="B632" s="178" t="s">
        <v>385</v>
      </c>
      <c r="C632" s="178">
        <v>0</v>
      </c>
      <c r="D632" s="178">
        <v>0</v>
      </c>
      <c r="E632" s="178">
        <v>0</v>
      </c>
      <c r="F632" s="178">
        <v>0</v>
      </c>
      <c r="G632" s="178">
        <v>0</v>
      </c>
      <c r="H632" s="178">
        <v>0</v>
      </c>
      <c r="I632" s="178">
        <v>0</v>
      </c>
      <c r="J632" s="178" t="s">
        <v>497</v>
      </c>
    </row>
    <row r="633" spans="1:10">
      <c r="A633" s="178">
        <v>530</v>
      </c>
      <c r="B633" s="178" t="s">
        <v>386</v>
      </c>
      <c r="C633" s="178">
        <v>0</v>
      </c>
      <c r="D633" s="178">
        <v>0</v>
      </c>
      <c r="E633" s="178">
        <v>0</v>
      </c>
      <c r="F633" s="178">
        <v>0</v>
      </c>
      <c r="G633" s="178">
        <v>0</v>
      </c>
      <c r="H633" s="178">
        <v>0</v>
      </c>
      <c r="I633" s="178">
        <v>0</v>
      </c>
      <c r="J633" s="178" t="s">
        <v>497</v>
      </c>
    </row>
    <row r="634" spans="1:10">
      <c r="A634" s="178">
        <v>540</v>
      </c>
      <c r="B634" s="178" t="s">
        <v>387</v>
      </c>
      <c r="C634" s="178">
        <v>0</v>
      </c>
      <c r="D634" s="178">
        <v>0</v>
      </c>
      <c r="E634" s="178">
        <v>0</v>
      </c>
      <c r="F634" s="178">
        <v>0</v>
      </c>
      <c r="G634" s="178">
        <v>0</v>
      </c>
      <c r="H634" s="178">
        <v>0</v>
      </c>
      <c r="I634" s="178">
        <v>0</v>
      </c>
      <c r="J634" s="178" t="s">
        <v>497</v>
      </c>
    </row>
    <row r="635" spans="1:10">
      <c r="A635" s="178">
        <v>600</v>
      </c>
      <c r="B635" s="178" t="s">
        <v>388</v>
      </c>
      <c r="C635" s="178">
        <v>0</v>
      </c>
      <c r="D635" s="178">
        <v>0</v>
      </c>
      <c r="E635" s="178">
        <v>0</v>
      </c>
      <c r="F635" s="178">
        <v>0</v>
      </c>
      <c r="G635" s="178">
        <v>0</v>
      </c>
      <c r="H635" s="178">
        <v>0</v>
      </c>
      <c r="I635" s="178">
        <v>0</v>
      </c>
      <c r="J635" s="178" t="s">
        <v>497</v>
      </c>
    </row>
    <row r="636" spans="1:10">
      <c r="A636" s="178">
        <v>610</v>
      </c>
      <c r="B636" s="178" t="s">
        <v>556</v>
      </c>
      <c r="C636" s="178">
        <v>0</v>
      </c>
      <c r="D636" s="178">
        <v>0</v>
      </c>
      <c r="E636" s="178">
        <v>0</v>
      </c>
      <c r="F636" s="178">
        <v>0</v>
      </c>
      <c r="G636" s="178">
        <v>0</v>
      </c>
      <c r="H636" s="178">
        <v>0</v>
      </c>
      <c r="I636" s="178">
        <v>0</v>
      </c>
      <c r="J636" s="178" t="s">
        <v>497</v>
      </c>
    </row>
    <row r="637" spans="1:10">
      <c r="A637" s="178">
        <v>620</v>
      </c>
      <c r="B637" s="178" t="s">
        <v>390</v>
      </c>
      <c r="C637" s="178">
        <v>0</v>
      </c>
      <c r="D637" s="178">
        <v>0</v>
      </c>
      <c r="E637" s="178">
        <v>0</v>
      </c>
      <c r="F637" s="178">
        <v>0</v>
      </c>
      <c r="G637" s="178">
        <v>0</v>
      </c>
      <c r="H637" s="178">
        <v>0</v>
      </c>
      <c r="I637" s="178">
        <v>0</v>
      </c>
      <c r="J637" s="178" t="s">
        <v>497</v>
      </c>
    </row>
    <row r="638" spans="1:10">
      <c r="A638" s="178">
        <v>700</v>
      </c>
      <c r="B638" s="178" t="s">
        <v>557</v>
      </c>
      <c r="C638" s="178">
        <v>0</v>
      </c>
      <c r="D638" s="178">
        <v>0</v>
      </c>
      <c r="E638" s="178">
        <v>0</v>
      </c>
      <c r="F638" s="178">
        <v>0</v>
      </c>
      <c r="G638" s="178">
        <v>0</v>
      </c>
      <c r="H638" s="178">
        <v>0</v>
      </c>
      <c r="I638" s="178">
        <v>0</v>
      </c>
      <c r="J638" s="178" t="s">
        <v>497</v>
      </c>
    </row>
    <row r="639" spans="1:10">
      <c r="A639" s="178">
        <v>710</v>
      </c>
      <c r="B639" s="178" t="s">
        <v>558</v>
      </c>
      <c r="C639" s="178">
        <v>0</v>
      </c>
      <c r="D639" s="178">
        <v>0</v>
      </c>
      <c r="E639" s="178">
        <v>0</v>
      </c>
      <c r="F639" s="178">
        <v>0</v>
      </c>
      <c r="G639" s="178">
        <v>0</v>
      </c>
      <c r="H639" s="178">
        <v>0</v>
      </c>
      <c r="I639" s="178">
        <v>0</v>
      </c>
      <c r="J639" s="178" t="s">
        <v>497</v>
      </c>
    </row>
    <row r="640" spans="1:10">
      <c r="A640" s="178">
        <v>720</v>
      </c>
      <c r="B640" s="178" t="s">
        <v>276</v>
      </c>
      <c r="C640" s="178">
        <v>3053982.34</v>
      </c>
      <c r="D640" s="178">
        <v>0</v>
      </c>
      <c r="E640" s="178">
        <v>3053982.34</v>
      </c>
      <c r="F640" s="178">
        <v>0</v>
      </c>
      <c r="G640" s="178">
        <v>0</v>
      </c>
      <c r="H640" s="178">
        <v>3053982.34</v>
      </c>
      <c r="I640" s="178">
        <v>3053982.34</v>
      </c>
      <c r="J640" s="178" t="s">
        <v>497</v>
      </c>
    </row>
    <row r="641" spans="1:10">
      <c r="A641" s="178">
        <v>730</v>
      </c>
      <c r="B641" s="178" t="s">
        <v>393</v>
      </c>
      <c r="C641" s="178">
        <v>0</v>
      </c>
      <c r="D641" s="178">
        <v>0</v>
      </c>
      <c r="E641" s="178">
        <v>0</v>
      </c>
      <c r="F641" s="178">
        <v>0</v>
      </c>
      <c r="G641" s="178">
        <v>0</v>
      </c>
      <c r="H641" s="178">
        <v>0</v>
      </c>
      <c r="I641" s="178">
        <v>0</v>
      </c>
      <c r="J641" s="178" t="s">
        <v>497</v>
      </c>
    </row>
    <row r="642" spans="1:10">
      <c r="A642" s="178">
        <v>740</v>
      </c>
      <c r="B642" s="178" t="s">
        <v>394</v>
      </c>
      <c r="C642" s="178">
        <v>702264.82</v>
      </c>
      <c r="D642" s="178">
        <v>0</v>
      </c>
      <c r="E642" s="178">
        <v>702264.82</v>
      </c>
      <c r="F642" s="178">
        <v>0</v>
      </c>
      <c r="G642" s="178">
        <v>0</v>
      </c>
      <c r="H642" s="178">
        <v>-1940894.56</v>
      </c>
      <c r="I642" s="178">
        <v>702264.82</v>
      </c>
      <c r="J642" s="178" t="s">
        <v>497</v>
      </c>
    </row>
    <row r="643" spans="1:10">
      <c r="A643" s="178">
        <v>750</v>
      </c>
      <c r="B643" s="178" t="s">
        <v>395</v>
      </c>
      <c r="C643" s="178">
        <v>819197.1</v>
      </c>
      <c r="D643" s="178">
        <v>0</v>
      </c>
      <c r="E643" s="178">
        <v>819197.1</v>
      </c>
      <c r="F643" s="178">
        <v>819197.1</v>
      </c>
      <c r="G643" s="178">
        <v>819197.1</v>
      </c>
      <c r="H643" s="178">
        <v>2643159.38</v>
      </c>
      <c r="I643" s="178">
        <v>0</v>
      </c>
      <c r="J643" s="178" t="s">
        <v>497</v>
      </c>
    </row>
    <row r="644" spans="1:10">
      <c r="A644" s="178">
        <v>760</v>
      </c>
      <c r="B644" s="178" t="s">
        <v>396</v>
      </c>
      <c r="C644" s="178">
        <v>0</v>
      </c>
      <c r="D644" s="178">
        <v>0</v>
      </c>
      <c r="E644" s="178">
        <v>0</v>
      </c>
      <c r="F644" s="178">
        <v>0</v>
      </c>
      <c r="G644" s="178">
        <v>0</v>
      </c>
      <c r="H644" s="178">
        <v>0</v>
      </c>
      <c r="I644" s="178">
        <v>0</v>
      </c>
      <c r="J644" s="178" t="s">
        <v>497</v>
      </c>
    </row>
    <row r="645" spans="1:10">
      <c r="A645" s="178">
        <v>770</v>
      </c>
      <c r="B645" s="178" t="s">
        <v>397</v>
      </c>
      <c r="C645" s="178">
        <v>0</v>
      </c>
      <c r="D645" s="178">
        <v>0</v>
      </c>
      <c r="E645" s="178">
        <v>0</v>
      </c>
      <c r="F645" s="178">
        <v>0</v>
      </c>
      <c r="G645" s="178">
        <v>0</v>
      </c>
      <c r="H645" s="178">
        <v>0</v>
      </c>
      <c r="I645" s="178">
        <v>0</v>
      </c>
      <c r="J645" s="178" t="s">
        <v>497</v>
      </c>
    </row>
    <row r="646" spans="1:10">
      <c r="A646" s="178">
        <v>800</v>
      </c>
      <c r="B646" s="178" t="s">
        <v>398</v>
      </c>
      <c r="C646" s="178">
        <v>4575444.26</v>
      </c>
      <c r="D646" s="178">
        <v>0</v>
      </c>
      <c r="E646" s="178">
        <v>4575444.26</v>
      </c>
      <c r="F646" s="178">
        <v>819197.1</v>
      </c>
      <c r="G646" s="178">
        <v>819197.1</v>
      </c>
      <c r="H646" s="178">
        <v>3756247.16</v>
      </c>
      <c r="I646" s="178">
        <v>3756247.16</v>
      </c>
      <c r="J646" s="178" t="s">
        <v>497</v>
      </c>
    </row>
    <row r="647" spans="1:10">
      <c r="A647" s="178">
        <v>900</v>
      </c>
      <c r="B647" s="178" t="s">
        <v>399</v>
      </c>
      <c r="C647" s="178">
        <v>17318580.84</v>
      </c>
      <c r="D647" s="178">
        <v>0</v>
      </c>
      <c r="E647" s="178">
        <v>17318580.84</v>
      </c>
      <c r="F647" s="178">
        <v>742697.74</v>
      </c>
      <c r="G647" s="178">
        <v>742697.74</v>
      </c>
      <c r="H647" s="178">
        <v>16575883.1</v>
      </c>
      <c r="I647" s="178">
        <v>16575883.1</v>
      </c>
      <c r="J647" s="178" t="s">
        <v>497</v>
      </c>
    </row>
    <row r="648" spans="1:10">
      <c r="A648" s="178">
        <v>1000</v>
      </c>
      <c r="B648" s="178" t="s">
        <v>559</v>
      </c>
      <c r="C648" s="178">
        <v>0</v>
      </c>
      <c r="D648" s="178">
        <v>0</v>
      </c>
      <c r="E648" s="178">
        <v>0</v>
      </c>
      <c r="F648" s="178">
        <v>0</v>
      </c>
      <c r="G648" s="178">
        <v>0</v>
      </c>
      <c r="H648" s="178">
        <v>0</v>
      </c>
      <c r="I648" s="178">
        <v>0</v>
      </c>
      <c r="J648" s="178" t="s">
        <v>497</v>
      </c>
    </row>
    <row r="649" spans="1:10">
      <c r="A649" s="178" t="s">
        <v>445</v>
      </c>
      <c r="B649" s="178" t="s">
        <v>402</v>
      </c>
      <c r="C649" s="178" t="s">
        <v>538</v>
      </c>
      <c r="D649" s="178" t="s">
        <v>539</v>
      </c>
      <c r="E649" s="178" t="s">
        <v>540</v>
      </c>
      <c r="F649" s="178" t="s">
        <v>541</v>
      </c>
      <c r="G649" s="178" t="s">
        <v>542</v>
      </c>
      <c r="H649" s="178" t="s">
        <v>543</v>
      </c>
      <c r="I649" s="178" t="s">
        <v>544</v>
      </c>
      <c r="J649" s="178" t="s">
        <v>405</v>
      </c>
    </row>
    <row r="650" spans="1:10">
      <c r="A650" s="178">
        <v>10</v>
      </c>
      <c r="B650" s="178" t="s">
        <v>545</v>
      </c>
      <c r="C650" s="178">
        <v>0</v>
      </c>
      <c r="D650" s="178">
        <v>0</v>
      </c>
      <c r="E650" s="178">
        <v>0</v>
      </c>
      <c r="F650" s="178">
        <v>0</v>
      </c>
      <c r="G650" s="178">
        <v>0</v>
      </c>
      <c r="H650" s="178">
        <v>0</v>
      </c>
      <c r="I650" s="178">
        <v>0</v>
      </c>
      <c r="J650" s="178" t="s">
        <v>497</v>
      </c>
    </row>
    <row r="651" spans="1:10">
      <c r="A651" s="178">
        <v>20</v>
      </c>
      <c r="B651" s="178" t="s">
        <v>359</v>
      </c>
      <c r="C651" s="178">
        <v>1796690.6</v>
      </c>
      <c r="D651" s="178">
        <v>0</v>
      </c>
      <c r="E651" s="178">
        <v>1796690.6</v>
      </c>
      <c r="F651" s="178">
        <v>-1520964.35</v>
      </c>
      <c r="G651" s="178">
        <v>-1520964.35</v>
      </c>
      <c r="H651" s="178">
        <v>3317654.95</v>
      </c>
      <c r="I651" s="178">
        <v>3317654.95</v>
      </c>
      <c r="J651" s="178" t="s">
        <v>497</v>
      </c>
    </row>
    <row r="652" spans="1:10">
      <c r="A652" s="178">
        <v>30</v>
      </c>
      <c r="B652" s="178" t="s">
        <v>360</v>
      </c>
      <c r="C652" s="178">
        <v>0</v>
      </c>
      <c r="D652" s="178">
        <v>0</v>
      </c>
      <c r="E652" s="178">
        <v>0</v>
      </c>
      <c r="F652" s="178">
        <v>0</v>
      </c>
      <c r="G652" s="178">
        <v>0</v>
      </c>
      <c r="H652" s="178">
        <v>0</v>
      </c>
      <c r="I652" s="178">
        <v>0</v>
      </c>
      <c r="J652" s="178" t="s">
        <v>497</v>
      </c>
    </row>
    <row r="653" spans="1:10">
      <c r="A653" s="178">
        <v>40</v>
      </c>
      <c r="B653" s="178" t="s">
        <v>266</v>
      </c>
      <c r="C653" s="178">
        <v>24105.55</v>
      </c>
      <c r="D653" s="178">
        <v>0</v>
      </c>
      <c r="E653" s="178">
        <v>24105.55</v>
      </c>
      <c r="F653" s="178">
        <v>0</v>
      </c>
      <c r="G653" s="178">
        <v>0</v>
      </c>
      <c r="H653" s="178">
        <v>24105.55</v>
      </c>
      <c r="I653" s="178">
        <v>24105.55</v>
      </c>
      <c r="J653" s="178" t="s">
        <v>497</v>
      </c>
    </row>
    <row r="654" spans="1:10">
      <c r="A654" s="178">
        <v>50</v>
      </c>
      <c r="B654" s="178" t="s">
        <v>267</v>
      </c>
      <c r="C654" s="178">
        <v>177317515.81</v>
      </c>
      <c r="D654" s="178">
        <v>0</v>
      </c>
      <c r="E654" s="178">
        <v>177317515.81</v>
      </c>
      <c r="F654" s="178">
        <v>75100491</v>
      </c>
      <c r="G654" s="178">
        <v>75100491</v>
      </c>
      <c r="H654" s="178">
        <v>102217024.81</v>
      </c>
      <c r="I654" s="178">
        <v>102217024.81</v>
      </c>
      <c r="J654" s="178" t="s">
        <v>497</v>
      </c>
    </row>
    <row r="655" spans="1:10">
      <c r="A655" s="178">
        <v>60</v>
      </c>
      <c r="B655" s="178" t="s">
        <v>268</v>
      </c>
      <c r="C655" s="178">
        <v>0</v>
      </c>
      <c r="D655" s="178">
        <v>0</v>
      </c>
      <c r="E655" s="178">
        <v>0</v>
      </c>
      <c r="F655" s="178">
        <v>0</v>
      </c>
      <c r="G655" s="178">
        <v>0</v>
      </c>
      <c r="H655" s="178">
        <v>0</v>
      </c>
      <c r="I655" s="178">
        <v>0</v>
      </c>
      <c r="J655" s="178" t="s">
        <v>497</v>
      </c>
    </row>
    <row r="656" spans="1:10">
      <c r="A656" s="178">
        <v>70</v>
      </c>
      <c r="B656" s="178" t="s">
        <v>269</v>
      </c>
      <c r="C656" s="178">
        <v>0</v>
      </c>
      <c r="D656" s="178">
        <v>0</v>
      </c>
      <c r="E656" s="178">
        <v>0</v>
      </c>
      <c r="F656" s="178">
        <v>0</v>
      </c>
      <c r="G656" s="178">
        <v>0</v>
      </c>
      <c r="H656" s="178">
        <v>0</v>
      </c>
      <c r="I656" s="178">
        <v>0</v>
      </c>
      <c r="J656" s="178" t="s">
        <v>497</v>
      </c>
    </row>
    <row r="657" spans="1:10">
      <c r="A657" s="178">
        <v>80</v>
      </c>
      <c r="B657" s="178" t="s">
        <v>560</v>
      </c>
      <c r="C657" s="178">
        <v>10039842.64</v>
      </c>
      <c r="D657" s="178">
        <v>0</v>
      </c>
      <c r="E657" s="178">
        <v>10039842.64</v>
      </c>
      <c r="F657" s="178">
        <v>15252</v>
      </c>
      <c r="G657" s="178">
        <v>15252</v>
      </c>
      <c r="H657" s="178">
        <v>10024590.64</v>
      </c>
      <c r="I657" s="178">
        <v>10024590.64</v>
      </c>
      <c r="J657" s="178" t="s">
        <v>497</v>
      </c>
    </row>
    <row r="658" spans="1:10">
      <c r="A658" s="178">
        <v>100</v>
      </c>
      <c r="B658" s="178" t="s">
        <v>547</v>
      </c>
      <c r="C658" s="178">
        <v>189178154.6</v>
      </c>
      <c r="D658" s="178">
        <v>0</v>
      </c>
      <c r="E658" s="178">
        <v>189178154.6</v>
      </c>
      <c r="F658" s="178">
        <v>73594778.65</v>
      </c>
      <c r="G658" s="178">
        <v>73594778.65</v>
      </c>
      <c r="H658" s="178">
        <v>115583375.95</v>
      </c>
      <c r="I658" s="178">
        <v>115583375.95</v>
      </c>
      <c r="J658" s="178" t="s">
        <v>497</v>
      </c>
    </row>
    <row r="659" spans="1:10">
      <c r="A659" s="178">
        <v>110</v>
      </c>
      <c r="B659" s="178" t="s">
        <v>548</v>
      </c>
      <c r="C659" s="178">
        <v>0</v>
      </c>
      <c r="D659" s="178">
        <v>0</v>
      </c>
      <c r="E659" s="178">
        <v>0</v>
      </c>
      <c r="F659" s="178">
        <v>0</v>
      </c>
      <c r="G659" s="178">
        <v>0</v>
      </c>
      <c r="H659" s="178">
        <v>0</v>
      </c>
      <c r="I659" s="178">
        <v>0</v>
      </c>
      <c r="J659" s="178" t="s">
        <v>497</v>
      </c>
    </row>
    <row r="660" spans="1:10">
      <c r="A660" s="178">
        <v>120</v>
      </c>
      <c r="B660" s="178" t="s">
        <v>322</v>
      </c>
      <c r="C660" s="178">
        <v>0</v>
      </c>
      <c r="D660" s="178">
        <v>0</v>
      </c>
      <c r="E660" s="178">
        <v>0</v>
      </c>
      <c r="F660" s="178">
        <v>0</v>
      </c>
      <c r="G660" s="178">
        <v>0</v>
      </c>
      <c r="H660" s="178">
        <v>0</v>
      </c>
      <c r="I660" s="178">
        <v>0</v>
      </c>
      <c r="J660" s="178" t="s">
        <v>497</v>
      </c>
    </row>
    <row r="661" spans="1:10">
      <c r="A661" s="178">
        <v>130</v>
      </c>
      <c r="B661" s="178" t="s">
        <v>282</v>
      </c>
      <c r="C661" s="178">
        <v>0</v>
      </c>
      <c r="D661" s="178">
        <v>0</v>
      </c>
      <c r="E661" s="178">
        <v>0</v>
      </c>
      <c r="F661" s="178">
        <v>0</v>
      </c>
      <c r="G661" s="178">
        <v>0</v>
      </c>
      <c r="H661" s="178">
        <v>0</v>
      </c>
      <c r="I661" s="178">
        <v>0</v>
      </c>
      <c r="J661" s="178" t="s">
        <v>497</v>
      </c>
    </row>
    <row r="662" spans="1:10">
      <c r="A662" s="178">
        <v>140</v>
      </c>
      <c r="B662" s="178" t="s">
        <v>364</v>
      </c>
      <c r="C662" s="178">
        <v>0</v>
      </c>
      <c r="D662" s="178">
        <v>0</v>
      </c>
      <c r="E662" s="178">
        <v>0</v>
      </c>
      <c r="F662" s="178">
        <v>0</v>
      </c>
      <c r="G662" s="178">
        <v>0</v>
      </c>
      <c r="H662" s="178">
        <v>0</v>
      </c>
      <c r="I662" s="178">
        <v>0</v>
      </c>
      <c r="J662" s="178" t="s">
        <v>497</v>
      </c>
    </row>
    <row r="663" spans="1:10">
      <c r="A663" s="178">
        <v>150</v>
      </c>
      <c r="B663" s="178" t="s">
        <v>285</v>
      </c>
      <c r="C663" s="178">
        <v>0</v>
      </c>
      <c r="D663" s="178">
        <v>0</v>
      </c>
      <c r="E663" s="178">
        <v>0</v>
      </c>
      <c r="F663" s="178">
        <v>0</v>
      </c>
      <c r="G663" s="178">
        <v>0</v>
      </c>
      <c r="H663" s="178">
        <v>0</v>
      </c>
      <c r="I663" s="178">
        <v>0</v>
      </c>
      <c r="J663" s="178" t="s">
        <v>497</v>
      </c>
    </row>
    <row r="664" spans="1:10">
      <c r="A664" s="178">
        <v>160</v>
      </c>
      <c r="B664" s="178" t="s">
        <v>284</v>
      </c>
      <c r="C664" s="178">
        <v>0</v>
      </c>
      <c r="D664" s="178">
        <v>0</v>
      </c>
      <c r="E664" s="178">
        <v>0</v>
      </c>
      <c r="F664" s="178">
        <v>0</v>
      </c>
      <c r="G664" s="178">
        <v>0</v>
      </c>
      <c r="H664" s="178">
        <v>0</v>
      </c>
      <c r="I664" s="178">
        <v>0</v>
      </c>
      <c r="J664" s="178" t="s">
        <v>497</v>
      </c>
    </row>
    <row r="665" spans="1:10">
      <c r="A665" s="178">
        <v>170</v>
      </c>
      <c r="B665" s="178" t="s">
        <v>283</v>
      </c>
      <c r="C665" s="178">
        <v>0</v>
      </c>
      <c r="D665" s="178">
        <v>0</v>
      </c>
      <c r="E665" s="178">
        <v>0</v>
      </c>
      <c r="F665" s="178">
        <v>0</v>
      </c>
      <c r="G665" s="178">
        <v>0</v>
      </c>
      <c r="H665" s="178">
        <v>0</v>
      </c>
      <c r="I665" s="178">
        <v>0</v>
      </c>
      <c r="J665" s="178" t="s">
        <v>497</v>
      </c>
    </row>
    <row r="666" spans="1:10">
      <c r="A666" s="178">
        <v>180</v>
      </c>
      <c r="B666" s="178" t="s">
        <v>366</v>
      </c>
      <c r="C666" s="178">
        <v>0</v>
      </c>
      <c r="D666" s="178">
        <v>0</v>
      </c>
      <c r="E666" s="178">
        <v>0</v>
      </c>
      <c r="F666" s="178">
        <v>0</v>
      </c>
      <c r="G666" s="178">
        <v>0</v>
      </c>
      <c r="H666" s="178">
        <v>0</v>
      </c>
      <c r="I666" s="178">
        <v>0</v>
      </c>
      <c r="J666" s="178" t="s">
        <v>497</v>
      </c>
    </row>
    <row r="667" spans="1:10">
      <c r="A667" s="178">
        <v>190</v>
      </c>
      <c r="B667" s="178" t="s">
        <v>367</v>
      </c>
      <c r="C667" s="178">
        <v>0</v>
      </c>
      <c r="D667" s="178">
        <v>0</v>
      </c>
      <c r="E667" s="178">
        <v>0</v>
      </c>
      <c r="F667" s="178">
        <v>0</v>
      </c>
      <c r="G667" s="178">
        <v>0</v>
      </c>
      <c r="H667" s="178">
        <v>0</v>
      </c>
      <c r="I667" s="178">
        <v>0</v>
      </c>
      <c r="J667" s="178" t="s">
        <v>497</v>
      </c>
    </row>
    <row r="668" spans="1:10">
      <c r="A668" s="178">
        <v>200</v>
      </c>
      <c r="B668" s="178" t="s">
        <v>368</v>
      </c>
      <c r="C668" s="178">
        <v>0</v>
      </c>
      <c r="D668" s="178">
        <v>0</v>
      </c>
      <c r="E668" s="178">
        <v>0</v>
      </c>
      <c r="F668" s="178">
        <v>0</v>
      </c>
      <c r="G668" s="178">
        <v>0</v>
      </c>
      <c r="H668" s="178">
        <v>0</v>
      </c>
      <c r="I668" s="178">
        <v>0</v>
      </c>
      <c r="J668" s="178" t="s">
        <v>497</v>
      </c>
    </row>
    <row r="669" spans="1:10">
      <c r="A669" s="178">
        <v>210</v>
      </c>
      <c r="B669" s="178" t="s">
        <v>549</v>
      </c>
      <c r="C669" s="178">
        <v>0</v>
      </c>
      <c r="D669" s="178">
        <v>0</v>
      </c>
      <c r="E669" s="178">
        <v>0</v>
      </c>
      <c r="F669" s="178">
        <v>0</v>
      </c>
      <c r="G669" s="178">
        <v>0</v>
      </c>
      <c r="H669" s="178">
        <v>0</v>
      </c>
      <c r="I669" s="178">
        <v>0</v>
      </c>
      <c r="J669" s="178" t="s">
        <v>497</v>
      </c>
    </row>
    <row r="670" spans="1:10">
      <c r="A670" s="178">
        <v>220</v>
      </c>
      <c r="B670" s="178" t="s">
        <v>370</v>
      </c>
      <c r="C670" s="178">
        <v>0</v>
      </c>
      <c r="D670" s="178">
        <v>0</v>
      </c>
      <c r="E670" s="178">
        <v>0</v>
      </c>
      <c r="F670" s="178">
        <v>0</v>
      </c>
      <c r="G670" s="178">
        <v>0</v>
      </c>
      <c r="H670" s="178">
        <v>0</v>
      </c>
      <c r="I670" s="178">
        <v>0</v>
      </c>
      <c r="J670" s="178" t="s">
        <v>497</v>
      </c>
    </row>
    <row r="671" spans="1:10">
      <c r="A671" s="178">
        <v>230</v>
      </c>
      <c r="B671" s="178" t="s">
        <v>371</v>
      </c>
      <c r="C671" s="178">
        <v>0</v>
      </c>
      <c r="D671" s="178">
        <v>0</v>
      </c>
      <c r="E671" s="178">
        <v>0</v>
      </c>
      <c r="F671" s="178">
        <v>0</v>
      </c>
      <c r="G671" s="178">
        <v>0</v>
      </c>
      <c r="H671" s="178">
        <v>0</v>
      </c>
      <c r="I671" s="178">
        <v>0</v>
      </c>
      <c r="J671" s="178" t="s">
        <v>497</v>
      </c>
    </row>
    <row r="672" spans="1:10">
      <c r="A672" s="178">
        <v>240</v>
      </c>
      <c r="B672" s="178" t="s">
        <v>372</v>
      </c>
      <c r="C672" s="178">
        <v>0</v>
      </c>
      <c r="D672" s="178">
        <v>0</v>
      </c>
      <c r="E672" s="178">
        <v>0</v>
      </c>
      <c r="F672" s="178">
        <v>0</v>
      </c>
      <c r="G672" s="178">
        <v>0</v>
      </c>
      <c r="H672" s="178">
        <v>0</v>
      </c>
      <c r="I672" s="178">
        <v>0</v>
      </c>
      <c r="J672" s="178" t="s">
        <v>497</v>
      </c>
    </row>
    <row r="673" spans="1:10">
      <c r="A673" s="178">
        <v>250</v>
      </c>
      <c r="B673" s="178" t="s">
        <v>373</v>
      </c>
      <c r="C673" s="178">
        <v>0</v>
      </c>
      <c r="D673" s="178">
        <v>0</v>
      </c>
      <c r="E673" s="178">
        <v>0</v>
      </c>
      <c r="F673" s="178">
        <v>0</v>
      </c>
      <c r="G673" s="178">
        <v>0</v>
      </c>
      <c r="H673" s="178">
        <v>0</v>
      </c>
      <c r="I673" s="178">
        <v>0</v>
      </c>
      <c r="J673" s="178" t="s">
        <v>497</v>
      </c>
    </row>
    <row r="674" spans="1:10">
      <c r="A674" s="178">
        <v>260</v>
      </c>
      <c r="B674" s="178" t="s">
        <v>374</v>
      </c>
      <c r="C674" s="178">
        <v>0</v>
      </c>
      <c r="D674" s="178">
        <v>0</v>
      </c>
      <c r="E674" s="178">
        <v>0</v>
      </c>
      <c r="F674" s="178">
        <v>0</v>
      </c>
      <c r="G674" s="178">
        <v>0</v>
      </c>
      <c r="H674" s="178">
        <v>0</v>
      </c>
      <c r="I674" s="178">
        <v>0</v>
      </c>
      <c r="J674" s="178" t="s">
        <v>497</v>
      </c>
    </row>
    <row r="675" spans="1:10">
      <c r="A675" s="178">
        <v>270</v>
      </c>
      <c r="B675" s="178" t="s">
        <v>375</v>
      </c>
      <c r="C675" s="178">
        <v>258456731.6</v>
      </c>
      <c r="D675" s="178">
        <v>0</v>
      </c>
      <c r="E675" s="178">
        <v>258456731.6</v>
      </c>
      <c r="F675" s="178">
        <v>0</v>
      </c>
      <c r="G675" s="178">
        <v>0</v>
      </c>
      <c r="H675" s="178">
        <v>258456731.6</v>
      </c>
      <c r="I675" s="178">
        <v>258456731.6</v>
      </c>
      <c r="J675" s="178" t="s">
        <v>497</v>
      </c>
    </row>
    <row r="676" spans="1:10">
      <c r="A676" s="178">
        <v>280</v>
      </c>
      <c r="B676" s="178" t="s">
        <v>550</v>
      </c>
      <c r="C676" s="178">
        <v>258456731.6</v>
      </c>
      <c r="D676" s="178">
        <v>0</v>
      </c>
      <c r="E676" s="178">
        <v>258456731.6</v>
      </c>
      <c r="F676" s="178">
        <v>0</v>
      </c>
      <c r="G676" s="178">
        <v>0</v>
      </c>
      <c r="H676" s="178">
        <v>258456731.6</v>
      </c>
      <c r="I676" s="178">
        <v>258456731.6</v>
      </c>
      <c r="J676" s="178" t="s">
        <v>497</v>
      </c>
    </row>
    <row r="677" spans="1:10">
      <c r="A677" s="178">
        <v>400</v>
      </c>
      <c r="B677" s="178" t="s">
        <v>377</v>
      </c>
      <c r="C677" s="178">
        <v>447634886.2</v>
      </c>
      <c r="D677" s="178">
        <v>0</v>
      </c>
      <c r="E677" s="178">
        <v>447634886.2</v>
      </c>
      <c r="F677" s="178">
        <v>73594778.65</v>
      </c>
      <c r="G677" s="178">
        <v>73594778.65</v>
      </c>
      <c r="H677" s="178">
        <v>374040107.55</v>
      </c>
      <c r="I677" s="178">
        <v>374040107.55</v>
      </c>
      <c r="J677" s="178" t="s">
        <v>497</v>
      </c>
    </row>
    <row r="678" spans="1:10">
      <c r="A678" s="178">
        <v>410</v>
      </c>
      <c r="B678" s="178" t="s">
        <v>551</v>
      </c>
      <c r="C678" s="178">
        <v>0</v>
      </c>
      <c r="D678" s="178">
        <v>0</v>
      </c>
      <c r="E678" s="178">
        <v>0</v>
      </c>
      <c r="F678" s="178">
        <v>0</v>
      </c>
      <c r="G678" s="178">
        <v>0</v>
      </c>
      <c r="H678" s="178">
        <v>0</v>
      </c>
      <c r="I678" s="178">
        <v>0</v>
      </c>
      <c r="J678" s="178" t="s">
        <v>497</v>
      </c>
    </row>
    <row r="679" spans="1:10">
      <c r="A679" s="178">
        <v>420</v>
      </c>
      <c r="B679" s="178" t="s">
        <v>270</v>
      </c>
      <c r="C679" s="178">
        <v>0</v>
      </c>
      <c r="D679" s="178">
        <v>0</v>
      </c>
      <c r="E679" s="178">
        <v>0</v>
      </c>
      <c r="F679" s="178">
        <v>0</v>
      </c>
      <c r="G679" s="178">
        <v>0</v>
      </c>
      <c r="H679" s="178">
        <v>0</v>
      </c>
      <c r="I679" s="178">
        <v>0</v>
      </c>
      <c r="J679" s="178" t="s">
        <v>497</v>
      </c>
    </row>
    <row r="680" spans="1:10">
      <c r="A680" s="178">
        <v>430</v>
      </c>
      <c r="B680" s="178" t="s">
        <v>379</v>
      </c>
      <c r="C680" s="178">
        <v>171144561.48</v>
      </c>
      <c r="D680" s="178">
        <v>0</v>
      </c>
      <c r="E680" s="178">
        <v>171144561.48</v>
      </c>
      <c r="F680" s="178">
        <v>74036400</v>
      </c>
      <c r="G680" s="178">
        <v>74036400</v>
      </c>
      <c r="H680" s="178">
        <v>97108161.48</v>
      </c>
      <c r="I680" s="178">
        <v>97108161.48</v>
      </c>
      <c r="J680" s="178" t="s">
        <v>497</v>
      </c>
    </row>
    <row r="681" spans="1:10">
      <c r="A681" s="178">
        <v>440</v>
      </c>
      <c r="B681" s="178" t="s">
        <v>380</v>
      </c>
      <c r="C681" s="178">
        <v>0</v>
      </c>
      <c r="D681" s="178">
        <v>0</v>
      </c>
      <c r="E681" s="178">
        <v>0</v>
      </c>
      <c r="F681" s="178">
        <v>0</v>
      </c>
      <c r="G681" s="178">
        <v>0</v>
      </c>
      <c r="H681" s="178">
        <v>0</v>
      </c>
      <c r="I681" s="178">
        <v>0</v>
      </c>
      <c r="J681" s="178" t="s">
        <v>497</v>
      </c>
    </row>
    <row r="682" spans="1:10">
      <c r="A682" s="178">
        <v>450</v>
      </c>
      <c r="B682" s="178" t="s">
        <v>381</v>
      </c>
      <c r="C682" s="178">
        <v>933.18</v>
      </c>
      <c r="D682" s="178">
        <v>0</v>
      </c>
      <c r="E682" s="178">
        <v>933.18</v>
      </c>
      <c r="F682" s="178">
        <v>-1156.35</v>
      </c>
      <c r="G682" s="178">
        <v>-1156.35</v>
      </c>
      <c r="H682" s="178">
        <v>2089.53</v>
      </c>
      <c r="I682" s="178">
        <v>2089.53</v>
      </c>
      <c r="J682" s="178" t="s">
        <v>497</v>
      </c>
    </row>
    <row r="683" spans="1:10">
      <c r="A683" s="178">
        <v>460</v>
      </c>
      <c r="B683" s="178" t="s">
        <v>553</v>
      </c>
      <c r="C683" s="178">
        <v>0</v>
      </c>
      <c r="D683" s="178">
        <v>0</v>
      </c>
      <c r="E683" s="178">
        <v>0</v>
      </c>
      <c r="F683" s="178">
        <v>0</v>
      </c>
      <c r="G683" s="178">
        <v>0</v>
      </c>
      <c r="H683" s="178">
        <v>0</v>
      </c>
      <c r="I683" s="178">
        <v>0</v>
      </c>
      <c r="J683" s="178" t="s">
        <v>497</v>
      </c>
    </row>
    <row r="684" spans="1:10">
      <c r="A684" s="178">
        <v>500</v>
      </c>
      <c r="B684" s="178" t="s">
        <v>383</v>
      </c>
      <c r="C684" s="178">
        <v>171145494.66</v>
      </c>
      <c r="D684" s="178">
        <v>0</v>
      </c>
      <c r="E684" s="178">
        <v>171145494.66</v>
      </c>
      <c r="F684" s="178">
        <v>74035243.65</v>
      </c>
      <c r="G684" s="178">
        <v>74035243.65</v>
      </c>
      <c r="H684" s="178">
        <v>97110251.01</v>
      </c>
      <c r="I684" s="178">
        <v>97110251.01</v>
      </c>
      <c r="J684" s="178" t="s">
        <v>497</v>
      </c>
    </row>
    <row r="685" spans="1:10">
      <c r="A685" s="178">
        <v>510</v>
      </c>
      <c r="B685" s="178" t="s">
        <v>554</v>
      </c>
      <c r="C685" s="178">
        <v>0</v>
      </c>
      <c r="D685" s="178">
        <v>0</v>
      </c>
      <c r="E685" s="178">
        <v>0</v>
      </c>
      <c r="F685" s="178">
        <v>0</v>
      </c>
      <c r="G685" s="178">
        <v>0</v>
      </c>
      <c r="H685" s="178">
        <v>0</v>
      </c>
      <c r="I685" s="178">
        <v>0</v>
      </c>
      <c r="J685" s="178" t="s">
        <v>497</v>
      </c>
    </row>
    <row r="686" spans="1:10">
      <c r="A686" s="178">
        <v>520</v>
      </c>
      <c r="B686" s="178" t="s">
        <v>385</v>
      </c>
      <c r="C686" s="178">
        <v>0</v>
      </c>
      <c r="D686" s="178">
        <v>0</v>
      </c>
      <c r="E686" s="178">
        <v>0</v>
      </c>
      <c r="F686" s="178">
        <v>0</v>
      </c>
      <c r="G686" s="178">
        <v>0</v>
      </c>
      <c r="H686" s="178">
        <v>0</v>
      </c>
      <c r="I686" s="178">
        <v>0</v>
      </c>
      <c r="J686" s="178" t="s">
        <v>497</v>
      </c>
    </row>
    <row r="687" spans="1:10">
      <c r="A687" s="178">
        <v>530</v>
      </c>
      <c r="B687" s="178" t="s">
        <v>386</v>
      </c>
      <c r="C687" s="178">
        <v>20439972.98</v>
      </c>
      <c r="D687" s="178">
        <v>0</v>
      </c>
      <c r="E687" s="178">
        <v>20439972.98</v>
      </c>
      <c r="F687" s="178">
        <v>-7660.54</v>
      </c>
      <c r="G687" s="178">
        <v>-7660.54</v>
      </c>
      <c r="H687" s="178">
        <v>20447633.52</v>
      </c>
      <c r="I687" s="178">
        <v>20447633.52</v>
      </c>
      <c r="J687" s="178" t="s">
        <v>497</v>
      </c>
    </row>
    <row r="688" spans="1:10">
      <c r="A688" s="178">
        <v>540</v>
      </c>
      <c r="B688" s="178" t="s">
        <v>387</v>
      </c>
      <c r="C688" s="178">
        <v>0</v>
      </c>
      <c r="D688" s="178">
        <v>0</v>
      </c>
      <c r="E688" s="178">
        <v>0</v>
      </c>
      <c r="F688" s="178">
        <v>0</v>
      </c>
      <c r="G688" s="178">
        <v>0</v>
      </c>
      <c r="H688" s="178">
        <v>0</v>
      </c>
      <c r="I688" s="178">
        <v>0</v>
      </c>
      <c r="J688" s="178" t="s">
        <v>497</v>
      </c>
    </row>
    <row r="689" spans="1:10">
      <c r="A689" s="178">
        <v>600</v>
      </c>
      <c r="B689" s="178" t="s">
        <v>388</v>
      </c>
      <c r="C689" s="178">
        <v>20439972.98</v>
      </c>
      <c r="D689" s="178">
        <v>0</v>
      </c>
      <c r="E689" s="178">
        <v>20439972.98</v>
      </c>
      <c r="F689" s="178">
        <v>-7660.54</v>
      </c>
      <c r="G689" s="178">
        <v>-7660.54</v>
      </c>
      <c r="H689" s="178">
        <v>20447633.52</v>
      </c>
      <c r="I689" s="178">
        <v>20447633.52</v>
      </c>
      <c r="J689" s="178" t="s">
        <v>497</v>
      </c>
    </row>
    <row r="690" spans="1:10">
      <c r="A690" s="178">
        <v>610</v>
      </c>
      <c r="B690" s="178" t="s">
        <v>556</v>
      </c>
      <c r="C690" s="178">
        <v>0</v>
      </c>
      <c r="D690" s="178">
        <v>0</v>
      </c>
      <c r="E690" s="178">
        <v>0</v>
      </c>
      <c r="F690" s="178">
        <v>0</v>
      </c>
      <c r="G690" s="178">
        <v>0</v>
      </c>
      <c r="H690" s="178">
        <v>0</v>
      </c>
      <c r="I690" s="178">
        <v>0</v>
      </c>
      <c r="J690" s="178" t="s">
        <v>497</v>
      </c>
    </row>
    <row r="691" spans="1:10">
      <c r="A691" s="178">
        <v>620</v>
      </c>
      <c r="B691" s="178" t="s">
        <v>390</v>
      </c>
      <c r="C691" s="178">
        <v>0</v>
      </c>
      <c r="D691" s="178">
        <v>0</v>
      </c>
      <c r="E691" s="178">
        <v>0</v>
      </c>
      <c r="F691" s="178">
        <v>0</v>
      </c>
      <c r="G691" s="178">
        <v>0</v>
      </c>
      <c r="H691" s="178">
        <v>0</v>
      </c>
      <c r="I691" s="178">
        <v>0</v>
      </c>
      <c r="J691" s="178" t="s">
        <v>497</v>
      </c>
    </row>
    <row r="692" spans="1:10">
      <c r="A692" s="178">
        <v>700</v>
      </c>
      <c r="B692" s="178" t="s">
        <v>557</v>
      </c>
      <c r="C692" s="178">
        <v>0</v>
      </c>
      <c r="D692" s="178">
        <v>0</v>
      </c>
      <c r="E692" s="178">
        <v>0</v>
      </c>
      <c r="F692" s="178">
        <v>0</v>
      </c>
      <c r="G692" s="178">
        <v>0</v>
      </c>
      <c r="H692" s="178">
        <v>0</v>
      </c>
      <c r="I692" s="178">
        <v>0</v>
      </c>
      <c r="J692" s="178" t="s">
        <v>497</v>
      </c>
    </row>
    <row r="693" spans="1:10">
      <c r="A693" s="178">
        <v>710</v>
      </c>
      <c r="B693" s="178" t="s">
        <v>558</v>
      </c>
      <c r="C693" s="178">
        <v>0</v>
      </c>
      <c r="D693" s="178">
        <v>0</v>
      </c>
      <c r="E693" s="178">
        <v>0</v>
      </c>
      <c r="F693" s="178">
        <v>0</v>
      </c>
      <c r="G693" s="178">
        <v>0</v>
      </c>
      <c r="H693" s="178">
        <v>0</v>
      </c>
      <c r="I693" s="178">
        <v>0</v>
      </c>
      <c r="J693" s="178" t="s">
        <v>497</v>
      </c>
    </row>
    <row r="694" spans="1:10">
      <c r="A694" s="178">
        <v>720</v>
      </c>
      <c r="B694" s="178" t="s">
        <v>276</v>
      </c>
      <c r="C694" s="178">
        <v>7171091.31</v>
      </c>
      <c r="D694" s="178">
        <v>0</v>
      </c>
      <c r="E694" s="178">
        <v>7171091.31</v>
      </c>
      <c r="F694" s="178">
        <v>0</v>
      </c>
      <c r="G694" s="178">
        <v>0</v>
      </c>
      <c r="H694" s="178">
        <v>7171091.31</v>
      </c>
      <c r="I694" s="178">
        <v>7171091.31</v>
      </c>
      <c r="J694" s="178" t="s">
        <v>497</v>
      </c>
    </row>
    <row r="695" spans="1:10">
      <c r="A695" s="178">
        <v>730</v>
      </c>
      <c r="B695" s="178" t="s">
        <v>393</v>
      </c>
      <c r="C695" s="178">
        <v>246354.02</v>
      </c>
      <c r="D695" s="178">
        <v>0</v>
      </c>
      <c r="E695" s="178">
        <v>246354.02</v>
      </c>
      <c r="F695" s="178">
        <v>0</v>
      </c>
      <c r="G695" s="178">
        <v>0</v>
      </c>
      <c r="H695" s="178">
        <v>246354.02</v>
      </c>
      <c r="I695" s="178">
        <v>246354.02</v>
      </c>
      <c r="J695" s="178" t="s">
        <v>497</v>
      </c>
    </row>
    <row r="696" spans="1:10">
      <c r="A696" s="178">
        <v>740</v>
      </c>
      <c r="B696" s="178" t="s">
        <v>394</v>
      </c>
      <c r="C696" s="178">
        <v>249064777.69</v>
      </c>
      <c r="D696" s="178">
        <v>0</v>
      </c>
      <c r="E696" s="178">
        <v>249064777.69</v>
      </c>
      <c r="F696" s="178">
        <v>0</v>
      </c>
      <c r="G696" s="178">
        <v>0</v>
      </c>
      <c r="H696" s="178">
        <v>197293766.32</v>
      </c>
      <c r="I696" s="178">
        <v>249064777.69</v>
      </c>
      <c r="J696" s="178" t="s">
        <v>497</v>
      </c>
    </row>
    <row r="697" spans="1:10">
      <c r="A697" s="178">
        <v>750</v>
      </c>
      <c r="B697" s="178" t="s">
        <v>395</v>
      </c>
      <c r="C697" s="178">
        <v>-432804.46</v>
      </c>
      <c r="D697" s="178">
        <v>0</v>
      </c>
      <c r="E697" s="178">
        <v>-432804.46</v>
      </c>
      <c r="F697" s="178">
        <v>-432804.46</v>
      </c>
      <c r="G697" s="178">
        <v>-432804.46</v>
      </c>
      <c r="H697" s="178">
        <v>51771011.37</v>
      </c>
      <c r="I697" s="178">
        <v>0</v>
      </c>
      <c r="J697" s="178" t="s">
        <v>497</v>
      </c>
    </row>
    <row r="698" spans="1:10">
      <c r="A698" s="178">
        <v>760</v>
      </c>
      <c r="B698" s="178" t="s">
        <v>396</v>
      </c>
      <c r="C698" s="178">
        <v>0</v>
      </c>
      <c r="D698" s="178">
        <v>0</v>
      </c>
      <c r="E698" s="178">
        <v>0</v>
      </c>
      <c r="F698" s="178">
        <v>0</v>
      </c>
      <c r="G698" s="178">
        <v>0</v>
      </c>
      <c r="H698" s="178">
        <v>0</v>
      </c>
      <c r="I698" s="178">
        <v>0</v>
      </c>
      <c r="J698" s="178" t="s">
        <v>497</v>
      </c>
    </row>
    <row r="699" spans="1:10">
      <c r="A699" s="178">
        <v>770</v>
      </c>
      <c r="B699" s="178" t="s">
        <v>397</v>
      </c>
      <c r="C699" s="178">
        <v>0</v>
      </c>
      <c r="D699" s="178">
        <v>0</v>
      </c>
      <c r="E699" s="178">
        <v>0</v>
      </c>
      <c r="F699" s="178">
        <v>0</v>
      </c>
      <c r="G699" s="178">
        <v>0</v>
      </c>
      <c r="H699" s="178">
        <v>0</v>
      </c>
      <c r="I699" s="178">
        <v>0</v>
      </c>
      <c r="J699" s="178" t="s">
        <v>497</v>
      </c>
    </row>
    <row r="700" spans="1:10">
      <c r="A700" s="178">
        <v>800</v>
      </c>
      <c r="B700" s="178" t="s">
        <v>398</v>
      </c>
      <c r="C700" s="178">
        <v>256049418.56</v>
      </c>
      <c r="D700" s="178">
        <v>0</v>
      </c>
      <c r="E700" s="178">
        <v>256049418.56</v>
      </c>
      <c r="F700" s="178">
        <v>-432804.46</v>
      </c>
      <c r="G700" s="178">
        <v>-432804.46</v>
      </c>
      <c r="H700" s="178">
        <v>256482223.02</v>
      </c>
      <c r="I700" s="178">
        <v>256482223.02</v>
      </c>
      <c r="J700" s="178" t="s">
        <v>497</v>
      </c>
    </row>
    <row r="701" spans="1:10">
      <c r="A701" s="178">
        <v>900</v>
      </c>
      <c r="B701" s="178" t="s">
        <v>399</v>
      </c>
      <c r="C701" s="178">
        <v>447634886.2</v>
      </c>
      <c r="D701" s="178">
        <v>0</v>
      </c>
      <c r="E701" s="178">
        <v>447634886.2</v>
      </c>
      <c r="F701" s="178">
        <v>73594778.65</v>
      </c>
      <c r="G701" s="178">
        <v>73594778.65</v>
      </c>
      <c r="H701" s="178">
        <v>374040107.55</v>
      </c>
      <c r="I701" s="178">
        <v>374040107.55</v>
      </c>
      <c r="J701" s="178" t="s">
        <v>497</v>
      </c>
    </row>
    <row r="702" spans="1:10">
      <c r="A702" s="178">
        <v>1000</v>
      </c>
      <c r="B702" s="178" t="s">
        <v>559</v>
      </c>
      <c r="C702" s="178">
        <v>0</v>
      </c>
      <c r="D702" s="178">
        <v>0</v>
      </c>
      <c r="E702" s="178">
        <v>0</v>
      </c>
      <c r="F702" s="178">
        <v>0</v>
      </c>
      <c r="G702" s="178">
        <v>0</v>
      </c>
      <c r="H702" s="178">
        <v>0</v>
      </c>
      <c r="I702" s="178">
        <v>0</v>
      </c>
      <c r="J702" s="178" t="s">
        <v>497</v>
      </c>
    </row>
    <row r="703" spans="1:10">
      <c r="A703" s="178" t="s">
        <v>446</v>
      </c>
      <c r="B703" s="178" t="s">
        <v>402</v>
      </c>
      <c r="C703" s="178" t="s">
        <v>538</v>
      </c>
      <c r="D703" s="178" t="s">
        <v>539</v>
      </c>
      <c r="E703" s="178" t="s">
        <v>540</v>
      </c>
      <c r="F703" s="178" t="s">
        <v>541</v>
      </c>
      <c r="G703" s="178" t="s">
        <v>542</v>
      </c>
      <c r="H703" s="178" t="s">
        <v>543</v>
      </c>
      <c r="I703" s="178" t="s">
        <v>544</v>
      </c>
      <c r="J703" s="178" t="s">
        <v>405</v>
      </c>
    </row>
    <row r="704" spans="1:10">
      <c r="A704" s="178">
        <v>10</v>
      </c>
      <c r="B704" s="178" t="s">
        <v>545</v>
      </c>
      <c r="C704" s="178">
        <v>0</v>
      </c>
      <c r="D704" s="178">
        <v>0</v>
      </c>
      <c r="E704" s="178">
        <v>0</v>
      </c>
      <c r="F704" s="178">
        <v>0</v>
      </c>
      <c r="G704" s="178">
        <v>0</v>
      </c>
      <c r="H704" s="178">
        <v>0</v>
      </c>
      <c r="I704" s="178">
        <v>0</v>
      </c>
      <c r="J704" s="178" t="s">
        <v>497</v>
      </c>
    </row>
    <row r="705" spans="1:10">
      <c r="A705" s="178">
        <v>20</v>
      </c>
      <c r="B705" s="178" t="s">
        <v>359</v>
      </c>
      <c r="C705" s="178">
        <v>6936333.9</v>
      </c>
      <c r="D705" s="178">
        <v>0</v>
      </c>
      <c r="E705" s="178">
        <v>6936333.9</v>
      </c>
      <c r="F705" s="178">
        <v>-915426.36</v>
      </c>
      <c r="G705" s="178">
        <v>-915426.36</v>
      </c>
      <c r="H705" s="178">
        <v>7851760.26</v>
      </c>
      <c r="I705" s="178">
        <v>7851760.26</v>
      </c>
      <c r="J705" s="178" t="s">
        <v>497</v>
      </c>
    </row>
    <row r="706" spans="1:10">
      <c r="A706" s="178">
        <v>30</v>
      </c>
      <c r="B706" s="178" t="s">
        <v>360</v>
      </c>
      <c r="C706" s="178">
        <v>-6486.01</v>
      </c>
      <c r="D706" s="178">
        <v>0</v>
      </c>
      <c r="E706" s="178">
        <v>-6486.01</v>
      </c>
      <c r="F706" s="178">
        <v>0</v>
      </c>
      <c r="G706" s="178">
        <v>0</v>
      </c>
      <c r="H706" s="178">
        <v>-6486.01</v>
      </c>
      <c r="I706" s="178">
        <v>-6486.01</v>
      </c>
      <c r="J706" s="178" t="s">
        <v>497</v>
      </c>
    </row>
    <row r="707" spans="1:10">
      <c r="A707" s="178">
        <v>40</v>
      </c>
      <c r="B707" s="178" t="s">
        <v>266</v>
      </c>
      <c r="C707" s="178">
        <v>8057356.19</v>
      </c>
      <c r="D707" s="178">
        <v>0</v>
      </c>
      <c r="E707" s="178">
        <v>8057356.19</v>
      </c>
      <c r="F707" s="178">
        <v>2247222.84</v>
      </c>
      <c r="G707" s="178">
        <v>2247222.84</v>
      </c>
      <c r="H707" s="178">
        <v>5810133.35</v>
      </c>
      <c r="I707" s="178">
        <v>5810133.35</v>
      </c>
      <c r="J707" s="178" t="s">
        <v>497</v>
      </c>
    </row>
    <row r="708" spans="1:10">
      <c r="A708" s="178">
        <v>50</v>
      </c>
      <c r="B708" s="178" t="s">
        <v>267</v>
      </c>
      <c r="C708" s="178">
        <v>25060434.36</v>
      </c>
      <c r="D708" s="178">
        <v>0</v>
      </c>
      <c r="E708" s="178">
        <v>25060434.36</v>
      </c>
      <c r="F708" s="178">
        <v>14840146.76</v>
      </c>
      <c r="G708" s="178">
        <v>14840146.76</v>
      </c>
      <c r="H708" s="178">
        <v>10220287.6</v>
      </c>
      <c r="I708" s="178">
        <v>10220287.6</v>
      </c>
      <c r="J708" s="178" t="s">
        <v>497</v>
      </c>
    </row>
    <row r="709" spans="1:10">
      <c r="A709" s="178">
        <v>60</v>
      </c>
      <c r="B709" s="178" t="s">
        <v>268</v>
      </c>
      <c r="C709" s="178">
        <v>5056318.61</v>
      </c>
      <c r="D709" s="178">
        <v>0</v>
      </c>
      <c r="E709" s="178">
        <v>5056318.61</v>
      </c>
      <c r="F709" s="178">
        <v>1126495.51</v>
      </c>
      <c r="G709" s="178">
        <v>1126495.51</v>
      </c>
      <c r="H709" s="178">
        <v>3929823.1</v>
      </c>
      <c r="I709" s="178">
        <v>3929823.1</v>
      </c>
      <c r="J709" s="178" t="s">
        <v>497</v>
      </c>
    </row>
    <row r="710" spans="1:10">
      <c r="A710" s="178">
        <v>70</v>
      </c>
      <c r="B710" s="178" t="s">
        <v>269</v>
      </c>
      <c r="C710" s="178">
        <v>2650039.14</v>
      </c>
      <c r="D710" s="178">
        <v>0</v>
      </c>
      <c r="E710" s="178">
        <v>2650039.14</v>
      </c>
      <c r="F710" s="178">
        <v>0.22</v>
      </c>
      <c r="G710" s="178">
        <v>0.22</v>
      </c>
      <c r="H710" s="178">
        <v>2650038.92</v>
      </c>
      <c r="I710" s="178">
        <v>2650038.92</v>
      </c>
      <c r="J710" s="178" t="s">
        <v>497</v>
      </c>
    </row>
    <row r="711" spans="1:10">
      <c r="A711" s="178">
        <v>80</v>
      </c>
      <c r="B711" s="178" t="s">
        <v>560</v>
      </c>
      <c r="C711" s="178">
        <v>4416002.29</v>
      </c>
      <c r="D711" s="178">
        <v>0</v>
      </c>
      <c r="E711" s="178">
        <v>4416002.29</v>
      </c>
      <c r="F711" s="178">
        <v>1269896.33</v>
      </c>
      <c r="G711" s="178">
        <v>1269896.33</v>
      </c>
      <c r="H711" s="178">
        <v>3146105.96</v>
      </c>
      <c r="I711" s="178">
        <v>3146105.96</v>
      </c>
      <c r="J711" s="178" t="s">
        <v>497</v>
      </c>
    </row>
    <row r="712" spans="1:10">
      <c r="A712" s="178">
        <v>100</v>
      </c>
      <c r="B712" s="178" t="s">
        <v>547</v>
      </c>
      <c r="C712" s="178">
        <v>52169998.48</v>
      </c>
      <c r="D712" s="178">
        <v>0</v>
      </c>
      <c r="E712" s="178">
        <v>52169998.48</v>
      </c>
      <c r="F712" s="178">
        <v>18568335.3</v>
      </c>
      <c r="G712" s="178">
        <v>18568335.3</v>
      </c>
      <c r="H712" s="178">
        <v>33601663.18</v>
      </c>
      <c r="I712" s="178">
        <v>33601663.18</v>
      </c>
      <c r="J712" s="178" t="s">
        <v>497</v>
      </c>
    </row>
    <row r="713" spans="1:10">
      <c r="A713" s="178">
        <v>110</v>
      </c>
      <c r="B713" s="178" t="s">
        <v>548</v>
      </c>
      <c r="C713" s="178">
        <v>0</v>
      </c>
      <c r="D713" s="178">
        <v>0</v>
      </c>
      <c r="E713" s="178">
        <v>0</v>
      </c>
      <c r="F713" s="178">
        <v>0</v>
      </c>
      <c r="G713" s="178">
        <v>0</v>
      </c>
      <c r="H713" s="178">
        <v>0</v>
      </c>
      <c r="I713" s="178">
        <v>0</v>
      </c>
      <c r="J713" s="178" t="s">
        <v>497</v>
      </c>
    </row>
    <row r="714" spans="1:10">
      <c r="A714" s="178">
        <v>120</v>
      </c>
      <c r="B714" s="178" t="s">
        <v>322</v>
      </c>
      <c r="C714" s="178">
        <v>130000</v>
      </c>
      <c r="D714" s="178">
        <v>0</v>
      </c>
      <c r="E714" s="178">
        <v>130000</v>
      </c>
      <c r="F714" s="178">
        <v>0</v>
      </c>
      <c r="G714" s="178">
        <v>0</v>
      </c>
      <c r="H714" s="178">
        <v>130000</v>
      </c>
      <c r="I714" s="178">
        <v>130000</v>
      </c>
      <c r="J714" s="178" t="s">
        <v>497</v>
      </c>
    </row>
    <row r="715" spans="1:10">
      <c r="A715" s="178">
        <v>130</v>
      </c>
      <c r="B715" s="178" t="s">
        <v>282</v>
      </c>
      <c r="C715" s="178">
        <v>2923189.53</v>
      </c>
      <c r="D715" s="178">
        <v>0</v>
      </c>
      <c r="E715" s="178">
        <v>2923189.53</v>
      </c>
      <c r="F715" s="178">
        <v>0</v>
      </c>
      <c r="G715" s="178">
        <v>0</v>
      </c>
      <c r="H715" s="178">
        <v>2923189.53</v>
      </c>
      <c r="I715" s="178">
        <v>2923189.53</v>
      </c>
      <c r="J715" s="178" t="s">
        <v>497</v>
      </c>
    </row>
    <row r="716" spans="1:10">
      <c r="A716" s="178">
        <v>140</v>
      </c>
      <c r="B716" s="178" t="s">
        <v>364</v>
      </c>
      <c r="C716" s="178">
        <v>2034834.82</v>
      </c>
      <c r="D716" s="178">
        <v>0</v>
      </c>
      <c r="E716" s="178">
        <v>2034834.82</v>
      </c>
      <c r="F716" s="178">
        <v>0</v>
      </c>
      <c r="G716" s="178">
        <v>0</v>
      </c>
      <c r="H716" s="178">
        <v>2034834.82</v>
      </c>
      <c r="I716" s="178">
        <v>2034834.82</v>
      </c>
      <c r="J716" s="178" t="s">
        <v>497</v>
      </c>
    </row>
    <row r="717" spans="1:10">
      <c r="A717" s="178">
        <v>150</v>
      </c>
      <c r="B717" s="178" t="s">
        <v>285</v>
      </c>
      <c r="C717" s="178">
        <v>3315994.52</v>
      </c>
      <c r="D717" s="178">
        <v>0</v>
      </c>
      <c r="E717" s="178">
        <v>3315994.52</v>
      </c>
      <c r="F717" s="178">
        <v>0</v>
      </c>
      <c r="G717" s="178">
        <v>0</v>
      </c>
      <c r="H717" s="178">
        <v>3315994.52</v>
      </c>
      <c r="I717" s="178">
        <v>3315994.52</v>
      </c>
      <c r="J717" s="178" t="s">
        <v>497</v>
      </c>
    </row>
    <row r="718" spans="1:10">
      <c r="A718" s="178">
        <v>160</v>
      </c>
      <c r="B718" s="178" t="s">
        <v>284</v>
      </c>
      <c r="C718" s="178">
        <v>39133840.13</v>
      </c>
      <c r="D718" s="178">
        <v>0</v>
      </c>
      <c r="E718" s="178">
        <v>39133840.13</v>
      </c>
      <c r="F718" s="178">
        <v>0</v>
      </c>
      <c r="G718" s="178">
        <v>0</v>
      </c>
      <c r="H718" s="178">
        <v>39133840.13</v>
      </c>
      <c r="I718" s="178">
        <v>39133840.13</v>
      </c>
      <c r="J718" s="178" t="s">
        <v>497</v>
      </c>
    </row>
    <row r="719" spans="1:10">
      <c r="A719" s="178">
        <v>170</v>
      </c>
      <c r="B719" s="178" t="s">
        <v>283</v>
      </c>
      <c r="C719" s="178">
        <v>49402596.14</v>
      </c>
      <c r="D719" s="178">
        <v>0</v>
      </c>
      <c r="E719" s="178">
        <v>49402596.14</v>
      </c>
      <c r="F719" s="178">
        <v>438124.34</v>
      </c>
      <c r="G719" s="178">
        <v>438124.34</v>
      </c>
      <c r="H719" s="178">
        <v>48964471.8</v>
      </c>
      <c r="I719" s="178">
        <v>48964471.8</v>
      </c>
      <c r="J719" s="178" t="s">
        <v>497</v>
      </c>
    </row>
    <row r="720" spans="1:10">
      <c r="A720" s="178">
        <v>180</v>
      </c>
      <c r="B720" s="178" t="s">
        <v>366</v>
      </c>
      <c r="C720" s="178">
        <v>0</v>
      </c>
      <c r="D720" s="178">
        <v>0</v>
      </c>
      <c r="E720" s="178">
        <v>0</v>
      </c>
      <c r="F720" s="178">
        <v>0</v>
      </c>
      <c r="G720" s="178">
        <v>0</v>
      </c>
      <c r="H720" s="178">
        <v>0</v>
      </c>
      <c r="I720" s="178">
        <v>0</v>
      </c>
      <c r="J720" s="178" t="s">
        <v>497</v>
      </c>
    </row>
    <row r="721" spans="1:10">
      <c r="A721" s="178">
        <v>190</v>
      </c>
      <c r="B721" s="178" t="s">
        <v>367</v>
      </c>
      <c r="C721" s="178">
        <v>-52733127.54</v>
      </c>
      <c r="D721" s="178">
        <v>0</v>
      </c>
      <c r="E721" s="178">
        <v>-52733127.54</v>
      </c>
      <c r="F721" s="178">
        <v>-355150.84</v>
      </c>
      <c r="G721" s="178">
        <v>-355150.84</v>
      </c>
      <c r="H721" s="178">
        <v>-52377976.7</v>
      </c>
      <c r="I721" s="178">
        <v>-52377976.7</v>
      </c>
      <c r="J721" s="178" t="s">
        <v>497</v>
      </c>
    </row>
    <row r="722" spans="1:10">
      <c r="A722" s="178">
        <v>200</v>
      </c>
      <c r="B722" s="178" t="s">
        <v>368</v>
      </c>
      <c r="C722" s="178">
        <v>44207327.6</v>
      </c>
      <c r="D722" s="178">
        <v>0</v>
      </c>
      <c r="E722" s="178">
        <v>44207327.6</v>
      </c>
      <c r="F722" s="178">
        <v>82973.5</v>
      </c>
      <c r="G722" s="178">
        <v>82973.5</v>
      </c>
      <c r="H722" s="178">
        <v>44124354.1</v>
      </c>
      <c r="I722" s="178">
        <v>44124354.1</v>
      </c>
      <c r="J722" s="178" t="s">
        <v>497</v>
      </c>
    </row>
    <row r="723" spans="1:10">
      <c r="A723" s="178">
        <v>210</v>
      </c>
      <c r="B723" s="178" t="s">
        <v>549</v>
      </c>
      <c r="C723" s="178">
        <v>0</v>
      </c>
      <c r="D723" s="178">
        <v>0</v>
      </c>
      <c r="E723" s="178">
        <v>0</v>
      </c>
      <c r="F723" s="178">
        <v>0</v>
      </c>
      <c r="G723" s="178">
        <v>0</v>
      </c>
      <c r="H723" s="178">
        <v>0</v>
      </c>
      <c r="I723" s="178">
        <v>0</v>
      </c>
      <c r="J723" s="178" t="s">
        <v>497</v>
      </c>
    </row>
    <row r="724" spans="1:10">
      <c r="A724" s="178">
        <v>220</v>
      </c>
      <c r="B724" s="178" t="s">
        <v>370</v>
      </c>
      <c r="C724" s="178">
        <v>42273</v>
      </c>
      <c r="D724" s="178">
        <v>0</v>
      </c>
      <c r="E724" s="178">
        <v>42273</v>
      </c>
      <c r="F724" s="178">
        <v>0</v>
      </c>
      <c r="G724" s="178">
        <v>0</v>
      </c>
      <c r="H724" s="178">
        <v>42273</v>
      </c>
      <c r="I724" s="178">
        <v>42273</v>
      </c>
      <c r="J724" s="178" t="s">
        <v>497</v>
      </c>
    </row>
    <row r="725" spans="1:10">
      <c r="A725" s="178">
        <v>230</v>
      </c>
      <c r="B725" s="178" t="s">
        <v>371</v>
      </c>
      <c r="C725" s="178">
        <v>84775.27</v>
      </c>
      <c r="D725" s="178">
        <v>0</v>
      </c>
      <c r="E725" s="178">
        <v>84775.27</v>
      </c>
      <c r="F725" s="178">
        <v>0</v>
      </c>
      <c r="G725" s="178">
        <v>0</v>
      </c>
      <c r="H725" s="178">
        <v>84775.27</v>
      </c>
      <c r="I725" s="178">
        <v>84775.27</v>
      </c>
      <c r="J725" s="178" t="s">
        <v>497</v>
      </c>
    </row>
    <row r="726" spans="1:10">
      <c r="A726" s="178">
        <v>240</v>
      </c>
      <c r="B726" s="178" t="s">
        <v>372</v>
      </c>
      <c r="C726" s="178">
        <v>0</v>
      </c>
      <c r="D726" s="178">
        <v>0</v>
      </c>
      <c r="E726" s="178">
        <v>0</v>
      </c>
      <c r="F726" s="178">
        <v>0</v>
      </c>
      <c r="G726" s="178">
        <v>0</v>
      </c>
      <c r="H726" s="178">
        <v>0</v>
      </c>
      <c r="I726" s="178">
        <v>0</v>
      </c>
      <c r="J726" s="178" t="s">
        <v>497</v>
      </c>
    </row>
    <row r="727" spans="1:10">
      <c r="A727" s="178">
        <v>250</v>
      </c>
      <c r="B727" s="178" t="s">
        <v>373</v>
      </c>
      <c r="C727" s="178">
        <v>127048.27</v>
      </c>
      <c r="D727" s="178">
        <v>0</v>
      </c>
      <c r="E727" s="178">
        <v>127048.27</v>
      </c>
      <c r="F727" s="178">
        <v>0</v>
      </c>
      <c r="G727" s="178">
        <v>0</v>
      </c>
      <c r="H727" s="178">
        <v>127048.27</v>
      </c>
      <c r="I727" s="178">
        <v>127048.27</v>
      </c>
      <c r="J727" s="178" t="s">
        <v>497</v>
      </c>
    </row>
    <row r="728" spans="1:10">
      <c r="A728" s="178">
        <v>260</v>
      </c>
      <c r="B728" s="178" t="s">
        <v>374</v>
      </c>
      <c r="C728" s="178">
        <v>0</v>
      </c>
      <c r="D728" s="178">
        <v>0</v>
      </c>
      <c r="E728" s="178">
        <v>0</v>
      </c>
      <c r="F728" s="178">
        <v>0</v>
      </c>
      <c r="G728" s="178">
        <v>0</v>
      </c>
      <c r="H728" s="178">
        <v>0</v>
      </c>
      <c r="I728" s="178">
        <v>0</v>
      </c>
      <c r="J728" s="178" t="s">
        <v>497</v>
      </c>
    </row>
    <row r="729" spans="1:10">
      <c r="A729" s="178">
        <v>270</v>
      </c>
      <c r="B729" s="178" t="s">
        <v>375</v>
      </c>
      <c r="C729" s="178">
        <v>753.09</v>
      </c>
      <c r="D729" s="178">
        <v>0</v>
      </c>
      <c r="E729" s="178">
        <v>753.09</v>
      </c>
      <c r="F729" s="178">
        <v>0</v>
      </c>
      <c r="G729" s="178">
        <v>0</v>
      </c>
      <c r="H729" s="178">
        <v>753.09</v>
      </c>
      <c r="I729" s="178">
        <v>753.09</v>
      </c>
      <c r="J729" s="178" t="s">
        <v>497</v>
      </c>
    </row>
    <row r="730" spans="1:10">
      <c r="A730" s="178">
        <v>280</v>
      </c>
      <c r="B730" s="178" t="s">
        <v>550</v>
      </c>
      <c r="C730" s="178">
        <v>753.09</v>
      </c>
      <c r="D730" s="178">
        <v>0</v>
      </c>
      <c r="E730" s="178">
        <v>753.09</v>
      </c>
      <c r="F730" s="178">
        <v>0</v>
      </c>
      <c r="G730" s="178">
        <v>0</v>
      </c>
      <c r="H730" s="178">
        <v>753.09</v>
      </c>
      <c r="I730" s="178">
        <v>753.09</v>
      </c>
      <c r="J730" s="178" t="s">
        <v>497</v>
      </c>
    </row>
    <row r="731" spans="1:10">
      <c r="A731" s="178">
        <v>400</v>
      </c>
      <c r="B731" s="178" t="s">
        <v>377</v>
      </c>
      <c r="C731" s="178">
        <v>96505127.44</v>
      </c>
      <c r="D731" s="178">
        <v>0</v>
      </c>
      <c r="E731" s="178">
        <v>96505127.44</v>
      </c>
      <c r="F731" s="178">
        <v>18651308.8</v>
      </c>
      <c r="G731" s="178">
        <v>18651308.8</v>
      </c>
      <c r="H731" s="178">
        <v>77853818.64</v>
      </c>
      <c r="I731" s="178">
        <v>77853818.64</v>
      </c>
      <c r="J731" s="178" t="s">
        <v>497</v>
      </c>
    </row>
    <row r="732" spans="1:10">
      <c r="A732" s="178">
        <v>410</v>
      </c>
      <c r="B732" s="178" t="s">
        <v>551</v>
      </c>
      <c r="C732" s="178">
        <v>0</v>
      </c>
      <c r="D732" s="178">
        <v>0</v>
      </c>
      <c r="E732" s="178">
        <v>0</v>
      </c>
      <c r="F732" s="178">
        <v>0</v>
      </c>
      <c r="G732" s="178">
        <v>0</v>
      </c>
      <c r="H732" s="178">
        <v>0</v>
      </c>
      <c r="I732" s="178">
        <v>0</v>
      </c>
      <c r="J732" s="178" t="s">
        <v>497</v>
      </c>
    </row>
    <row r="733" spans="1:10">
      <c r="A733" s="178">
        <v>420</v>
      </c>
      <c r="B733" s="178" t="s">
        <v>270</v>
      </c>
      <c r="C733" s="178">
        <v>19523007.03</v>
      </c>
      <c r="D733" s="178">
        <v>0</v>
      </c>
      <c r="E733" s="178">
        <v>19523007.03</v>
      </c>
      <c r="F733" s="178">
        <v>7200363.89</v>
      </c>
      <c r="G733" s="178">
        <v>7200363.89</v>
      </c>
      <c r="H733" s="178">
        <v>12322643.14</v>
      </c>
      <c r="I733" s="178">
        <v>12322643.14</v>
      </c>
      <c r="J733" s="178" t="s">
        <v>497</v>
      </c>
    </row>
    <row r="734" spans="1:10">
      <c r="A734" s="178">
        <v>430</v>
      </c>
      <c r="B734" s="178" t="s">
        <v>379</v>
      </c>
      <c r="C734" s="178">
        <v>23298128.38</v>
      </c>
      <c r="D734" s="178">
        <v>0</v>
      </c>
      <c r="E734" s="178">
        <v>23298128.38</v>
      </c>
      <c r="F734" s="178">
        <v>9424408.66</v>
      </c>
      <c r="G734" s="178">
        <v>9424408.66</v>
      </c>
      <c r="H734" s="178">
        <v>13873719.72</v>
      </c>
      <c r="I734" s="178">
        <v>13873719.72</v>
      </c>
      <c r="J734" s="178" t="s">
        <v>497</v>
      </c>
    </row>
    <row r="735" spans="1:10">
      <c r="A735" s="178">
        <v>440</v>
      </c>
      <c r="B735" s="178" t="s">
        <v>380</v>
      </c>
      <c r="C735" s="178">
        <v>0</v>
      </c>
      <c r="D735" s="178">
        <v>0</v>
      </c>
      <c r="E735" s="178">
        <v>0</v>
      </c>
      <c r="F735" s="178">
        <v>0</v>
      </c>
      <c r="G735" s="178">
        <v>0</v>
      </c>
      <c r="H735" s="178">
        <v>0</v>
      </c>
      <c r="I735" s="178">
        <v>0</v>
      </c>
      <c r="J735" s="178" t="s">
        <v>497</v>
      </c>
    </row>
    <row r="736" spans="1:10">
      <c r="A736" s="178">
        <v>450</v>
      </c>
      <c r="B736" s="178" t="s">
        <v>381</v>
      </c>
      <c r="C736" s="178">
        <v>3243648.21</v>
      </c>
      <c r="D736" s="178">
        <v>0</v>
      </c>
      <c r="E736" s="178">
        <v>3243648.21</v>
      </c>
      <c r="F736" s="178">
        <v>957789.79</v>
      </c>
      <c r="G736" s="178">
        <v>957789.79</v>
      </c>
      <c r="H736" s="178">
        <v>2285858.42</v>
      </c>
      <c r="I736" s="178">
        <v>2285858.42</v>
      </c>
      <c r="J736" s="178" t="s">
        <v>497</v>
      </c>
    </row>
    <row r="737" spans="1:10">
      <c r="A737" s="178">
        <v>460</v>
      </c>
      <c r="B737" s="178" t="s">
        <v>561</v>
      </c>
      <c r="C737" s="178">
        <v>0</v>
      </c>
      <c r="D737" s="178">
        <v>0</v>
      </c>
      <c r="E737" s="178">
        <v>0</v>
      </c>
      <c r="F737" s="178">
        <v>0</v>
      </c>
      <c r="G737" s="178">
        <v>0</v>
      </c>
      <c r="H737" s="178">
        <v>0</v>
      </c>
      <c r="I737" s="178">
        <v>0</v>
      </c>
      <c r="J737" s="178" t="s">
        <v>497</v>
      </c>
    </row>
    <row r="738" spans="1:10">
      <c r="A738" s="178">
        <v>500</v>
      </c>
      <c r="B738" s="178" t="s">
        <v>383</v>
      </c>
      <c r="C738" s="178">
        <v>46064783.62</v>
      </c>
      <c r="D738" s="178">
        <v>0</v>
      </c>
      <c r="E738" s="178">
        <v>46064783.62</v>
      </c>
      <c r="F738" s="178">
        <v>17582562.34</v>
      </c>
      <c r="G738" s="178">
        <v>17582562.34</v>
      </c>
      <c r="H738" s="178">
        <v>28482221.28</v>
      </c>
      <c r="I738" s="178">
        <v>28482221.28</v>
      </c>
      <c r="J738" s="178" t="s">
        <v>497</v>
      </c>
    </row>
    <row r="739" spans="1:10">
      <c r="A739" s="178">
        <v>510</v>
      </c>
      <c r="B739" s="178" t="s">
        <v>554</v>
      </c>
      <c r="C739" s="178">
        <v>0</v>
      </c>
      <c r="D739" s="178">
        <v>0</v>
      </c>
      <c r="E739" s="178">
        <v>0</v>
      </c>
      <c r="F739" s="178">
        <v>0</v>
      </c>
      <c r="G739" s="178">
        <v>0</v>
      </c>
      <c r="H739" s="178">
        <v>0</v>
      </c>
      <c r="I739" s="178">
        <v>0</v>
      </c>
      <c r="J739" s="178" t="s">
        <v>497</v>
      </c>
    </row>
    <row r="740" spans="1:10">
      <c r="A740" s="178">
        <v>520</v>
      </c>
      <c r="B740" s="178" t="s">
        <v>385</v>
      </c>
      <c r="C740" s="178">
        <v>0</v>
      </c>
      <c r="D740" s="178">
        <v>0</v>
      </c>
      <c r="E740" s="178">
        <v>0</v>
      </c>
      <c r="F740" s="178">
        <v>0</v>
      </c>
      <c r="G740" s="178">
        <v>0</v>
      </c>
      <c r="H740" s="178">
        <v>0</v>
      </c>
      <c r="I740" s="178">
        <v>0</v>
      </c>
      <c r="J740" s="178" t="s">
        <v>497</v>
      </c>
    </row>
    <row r="741" spans="1:10">
      <c r="A741" s="178">
        <v>530</v>
      </c>
      <c r="B741" s="178" t="s">
        <v>386</v>
      </c>
      <c r="C741" s="178">
        <v>0.22</v>
      </c>
      <c r="D741" s="178">
        <v>0</v>
      </c>
      <c r="E741" s="178">
        <v>0.22</v>
      </c>
      <c r="F741" s="178">
        <v>0</v>
      </c>
      <c r="G741" s="178">
        <v>0</v>
      </c>
      <c r="H741" s="178">
        <v>0.22</v>
      </c>
      <c r="I741" s="178">
        <v>0.22</v>
      </c>
      <c r="J741" s="178" t="s">
        <v>497</v>
      </c>
    </row>
    <row r="742" spans="1:10">
      <c r="A742" s="178">
        <v>540</v>
      </c>
      <c r="B742" s="178" t="s">
        <v>387</v>
      </c>
      <c r="C742" s="178">
        <v>0</v>
      </c>
      <c r="D742" s="178">
        <v>0</v>
      </c>
      <c r="E742" s="178">
        <v>0</v>
      </c>
      <c r="F742" s="178">
        <v>0</v>
      </c>
      <c r="G742" s="178">
        <v>0</v>
      </c>
      <c r="H742" s="178">
        <v>0</v>
      </c>
      <c r="I742" s="178">
        <v>0</v>
      </c>
      <c r="J742" s="178" t="s">
        <v>497</v>
      </c>
    </row>
    <row r="743" spans="1:10">
      <c r="A743" s="178">
        <v>600</v>
      </c>
      <c r="B743" s="178" t="s">
        <v>388</v>
      </c>
      <c r="C743" s="178">
        <v>0.22</v>
      </c>
      <c r="D743" s="178">
        <v>0</v>
      </c>
      <c r="E743" s="178">
        <v>0.22</v>
      </c>
      <c r="F743" s="178">
        <v>0</v>
      </c>
      <c r="G743" s="178">
        <v>0</v>
      </c>
      <c r="H743" s="178">
        <v>0.22</v>
      </c>
      <c r="I743" s="178">
        <v>0.22</v>
      </c>
      <c r="J743" s="178" t="s">
        <v>497</v>
      </c>
    </row>
    <row r="744" spans="1:10">
      <c r="A744" s="178">
        <v>610</v>
      </c>
      <c r="B744" s="178" t="s">
        <v>556</v>
      </c>
      <c r="C744" s="178">
        <v>0</v>
      </c>
      <c r="D744" s="178">
        <v>0</v>
      </c>
      <c r="E744" s="178">
        <v>0</v>
      </c>
      <c r="F744" s="178">
        <v>0</v>
      </c>
      <c r="G744" s="178">
        <v>0</v>
      </c>
      <c r="H744" s="178">
        <v>0</v>
      </c>
      <c r="I744" s="178">
        <v>0</v>
      </c>
      <c r="J744" s="178" t="s">
        <v>497</v>
      </c>
    </row>
    <row r="745" spans="1:10">
      <c r="A745" s="178">
        <v>620</v>
      </c>
      <c r="B745" s="178" t="s">
        <v>390</v>
      </c>
      <c r="C745" s="178">
        <v>0</v>
      </c>
      <c r="D745" s="178">
        <v>0</v>
      </c>
      <c r="E745" s="178">
        <v>0</v>
      </c>
      <c r="F745" s="178">
        <v>0</v>
      </c>
      <c r="G745" s="178">
        <v>0</v>
      </c>
      <c r="H745" s="178">
        <v>0</v>
      </c>
      <c r="I745" s="178">
        <v>0</v>
      </c>
      <c r="J745" s="178" t="s">
        <v>497</v>
      </c>
    </row>
    <row r="746" spans="1:10">
      <c r="A746" s="178">
        <v>700</v>
      </c>
      <c r="B746" s="178" t="s">
        <v>557</v>
      </c>
      <c r="C746" s="178">
        <v>0</v>
      </c>
      <c r="D746" s="178">
        <v>0</v>
      </c>
      <c r="E746" s="178">
        <v>0</v>
      </c>
      <c r="F746" s="178">
        <v>0</v>
      </c>
      <c r="G746" s="178">
        <v>0</v>
      </c>
      <c r="H746" s="178">
        <v>0</v>
      </c>
      <c r="I746" s="178">
        <v>0</v>
      </c>
      <c r="J746" s="178" t="s">
        <v>497</v>
      </c>
    </row>
    <row r="747" spans="1:10">
      <c r="A747" s="178">
        <v>710</v>
      </c>
      <c r="B747" s="178" t="s">
        <v>558</v>
      </c>
      <c r="C747" s="178">
        <v>0</v>
      </c>
      <c r="D747" s="178">
        <v>0</v>
      </c>
      <c r="E747" s="178">
        <v>0</v>
      </c>
      <c r="F747" s="178">
        <v>0</v>
      </c>
      <c r="G747" s="178">
        <v>0</v>
      </c>
      <c r="H747" s="178">
        <v>0</v>
      </c>
      <c r="I747" s="178">
        <v>0</v>
      </c>
      <c r="J747" s="178" t="s">
        <v>497</v>
      </c>
    </row>
    <row r="748" spans="1:10">
      <c r="A748" s="178">
        <v>720</v>
      </c>
      <c r="B748" s="178" t="s">
        <v>276</v>
      </c>
      <c r="C748" s="178">
        <v>29312604.52</v>
      </c>
      <c r="D748" s="178">
        <v>0</v>
      </c>
      <c r="E748" s="178">
        <v>29312604.52</v>
      </c>
      <c r="F748" s="178">
        <v>0</v>
      </c>
      <c r="G748" s="178">
        <v>0</v>
      </c>
      <c r="H748" s="178">
        <v>29312604.52</v>
      </c>
      <c r="I748" s="178">
        <v>29312604.52</v>
      </c>
      <c r="J748" s="178" t="s">
        <v>497</v>
      </c>
    </row>
    <row r="749" spans="1:10">
      <c r="A749" s="178">
        <v>730</v>
      </c>
      <c r="B749" s="178" t="s">
        <v>393</v>
      </c>
      <c r="C749" s="178">
        <v>7660866.95</v>
      </c>
      <c r="D749" s="178">
        <v>0</v>
      </c>
      <c r="E749" s="178">
        <v>7660866.95</v>
      </c>
      <c r="F749" s="178">
        <v>0</v>
      </c>
      <c r="G749" s="178">
        <v>0</v>
      </c>
      <c r="H749" s="178">
        <v>7660866.95</v>
      </c>
      <c r="I749" s="178">
        <v>7660866.95</v>
      </c>
      <c r="J749" s="178" t="s">
        <v>497</v>
      </c>
    </row>
    <row r="750" spans="1:10">
      <c r="A750" s="178">
        <v>740</v>
      </c>
      <c r="B750" s="178" t="s">
        <v>394</v>
      </c>
      <c r="C750" s="178">
        <v>12318052.61</v>
      </c>
      <c r="D750" s="178">
        <v>0</v>
      </c>
      <c r="E750" s="178">
        <v>12318052.61</v>
      </c>
      <c r="F750" s="178">
        <v>0</v>
      </c>
      <c r="G750" s="178">
        <v>0</v>
      </c>
      <c r="H750" s="178">
        <v>-1256916.46</v>
      </c>
      <c r="I750" s="178">
        <v>12318052.61</v>
      </c>
      <c r="J750" s="178" t="s">
        <v>497</v>
      </c>
    </row>
    <row r="751" spans="1:10">
      <c r="A751" s="178">
        <v>750</v>
      </c>
      <c r="B751" s="178" t="s">
        <v>395</v>
      </c>
      <c r="C751" s="178">
        <v>1068746.46</v>
      </c>
      <c r="D751" s="178">
        <v>3010107</v>
      </c>
      <c r="E751" s="178">
        <v>-1941360.54</v>
      </c>
      <c r="F751" s="178">
        <v>1068746.46</v>
      </c>
      <c r="G751" s="178">
        <v>1068746.46</v>
      </c>
      <c r="H751" s="178">
        <v>13574969.07</v>
      </c>
      <c r="I751" s="178">
        <v>0</v>
      </c>
      <c r="J751" s="178" t="s">
        <v>497</v>
      </c>
    </row>
    <row r="752" spans="1:10">
      <c r="A752" s="178">
        <v>760</v>
      </c>
      <c r="B752" s="178" t="s">
        <v>396</v>
      </c>
      <c r="C752" s="178">
        <v>80073.06</v>
      </c>
      <c r="D752" s="178">
        <v>0</v>
      </c>
      <c r="E752" s="178">
        <v>80073.06</v>
      </c>
      <c r="F752" s="178">
        <v>0</v>
      </c>
      <c r="G752" s="178">
        <v>0</v>
      </c>
      <c r="H752" s="178">
        <v>80073.06</v>
      </c>
      <c r="I752" s="178">
        <v>80073.06</v>
      </c>
      <c r="J752" s="178" t="s">
        <v>497</v>
      </c>
    </row>
    <row r="753" spans="1:10">
      <c r="A753" s="178">
        <v>770</v>
      </c>
      <c r="B753" s="178" t="s">
        <v>397</v>
      </c>
      <c r="C753" s="178">
        <v>0</v>
      </c>
      <c r="D753" s="178">
        <v>0</v>
      </c>
      <c r="E753" s="178">
        <v>0</v>
      </c>
      <c r="F753" s="178">
        <v>0</v>
      </c>
      <c r="G753" s="178">
        <v>0</v>
      </c>
      <c r="H753" s="178">
        <v>0</v>
      </c>
      <c r="I753" s="178">
        <v>0</v>
      </c>
      <c r="J753" s="178" t="s">
        <v>497</v>
      </c>
    </row>
    <row r="754" spans="1:10">
      <c r="A754" s="178">
        <v>800</v>
      </c>
      <c r="B754" s="178" t="s">
        <v>398</v>
      </c>
      <c r="C754" s="178">
        <v>50440343.6</v>
      </c>
      <c r="D754" s="178">
        <v>3010107</v>
      </c>
      <c r="E754" s="178">
        <v>47430236.6</v>
      </c>
      <c r="F754" s="178">
        <v>1068746.46</v>
      </c>
      <c r="G754" s="178">
        <v>1068746.46</v>
      </c>
      <c r="H754" s="178">
        <v>49371597.14</v>
      </c>
      <c r="I754" s="178">
        <v>49371597.14</v>
      </c>
      <c r="J754" s="178" t="s">
        <v>497</v>
      </c>
    </row>
    <row r="755" spans="1:10">
      <c r="A755" s="178">
        <v>900</v>
      </c>
      <c r="B755" s="178" t="s">
        <v>399</v>
      </c>
      <c r="C755" s="178">
        <v>96505127.44</v>
      </c>
      <c r="D755" s="178">
        <v>3010107</v>
      </c>
      <c r="E755" s="178">
        <v>93495020.44</v>
      </c>
      <c r="F755" s="178">
        <v>18651308.8</v>
      </c>
      <c r="G755" s="178">
        <v>18651308.8</v>
      </c>
      <c r="H755" s="178">
        <v>77853818.64</v>
      </c>
      <c r="I755" s="178">
        <v>77853818.64</v>
      </c>
      <c r="J755" s="178" t="s">
        <v>497</v>
      </c>
    </row>
    <row r="756" spans="1:10">
      <c r="A756" s="178">
        <v>1000</v>
      </c>
      <c r="B756" s="178" t="s">
        <v>559</v>
      </c>
      <c r="C756" s="178">
        <v>0</v>
      </c>
      <c r="D756" s="178">
        <v>-3010107</v>
      </c>
      <c r="E756" s="178">
        <v>3010107</v>
      </c>
      <c r="F756" s="178">
        <v>0</v>
      </c>
      <c r="G756" s="178">
        <v>0</v>
      </c>
      <c r="H756" s="178">
        <v>0</v>
      </c>
      <c r="I756" s="178">
        <v>0</v>
      </c>
      <c r="J756" s="178" t="s">
        <v>497</v>
      </c>
    </row>
    <row r="757" spans="1:10">
      <c r="A757" s="178" t="s">
        <v>447</v>
      </c>
      <c r="B757" s="178" t="s">
        <v>402</v>
      </c>
      <c r="C757" s="178" t="s">
        <v>538</v>
      </c>
      <c r="D757" s="178" t="s">
        <v>539</v>
      </c>
      <c r="E757" s="178" t="s">
        <v>540</v>
      </c>
      <c r="F757" s="178" t="s">
        <v>541</v>
      </c>
      <c r="G757" s="178" t="s">
        <v>542</v>
      </c>
      <c r="H757" s="178" t="s">
        <v>543</v>
      </c>
      <c r="I757" s="178" t="s">
        <v>544</v>
      </c>
      <c r="J757" s="178" t="s">
        <v>405</v>
      </c>
    </row>
    <row r="758" spans="1:10">
      <c r="A758" s="178">
        <v>10</v>
      </c>
      <c r="B758" s="178" t="s">
        <v>545</v>
      </c>
      <c r="C758" s="178">
        <v>0</v>
      </c>
      <c r="D758" s="178">
        <v>0</v>
      </c>
      <c r="E758" s="178">
        <v>0</v>
      </c>
      <c r="F758" s="178">
        <v>0</v>
      </c>
      <c r="G758" s="178">
        <v>0</v>
      </c>
      <c r="H758" s="178">
        <v>0</v>
      </c>
      <c r="I758" s="178">
        <v>0</v>
      </c>
      <c r="J758" s="178" t="s">
        <v>497</v>
      </c>
    </row>
    <row r="759" spans="1:10">
      <c r="A759" s="178">
        <v>20</v>
      </c>
      <c r="B759" s="178" t="s">
        <v>359</v>
      </c>
      <c r="C759" s="178">
        <v>4987689.85</v>
      </c>
      <c r="D759" s="178">
        <v>0</v>
      </c>
      <c r="E759" s="178">
        <v>4987689.85</v>
      </c>
      <c r="F759" s="178">
        <v>2393432.62</v>
      </c>
      <c r="G759" s="178">
        <v>2393432.62</v>
      </c>
      <c r="H759" s="178">
        <v>2594257.23</v>
      </c>
      <c r="I759" s="178">
        <v>2594257.23</v>
      </c>
      <c r="J759" s="178" t="s">
        <v>497</v>
      </c>
    </row>
    <row r="760" spans="1:10">
      <c r="A760" s="178">
        <v>30</v>
      </c>
      <c r="B760" s="178" t="s">
        <v>360</v>
      </c>
      <c r="C760" s="178">
        <v>0</v>
      </c>
      <c r="D760" s="178">
        <v>0</v>
      </c>
      <c r="E760" s="178">
        <v>0</v>
      </c>
      <c r="F760" s="178">
        <v>0</v>
      </c>
      <c r="G760" s="178">
        <v>0</v>
      </c>
      <c r="H760" s="178">
        <v>0</v>
      </c>
      <c r="I760" s="178">
        <v>0</v>
      </c>
      <c r="J760" s="178" t="s">
        <v>497</v>
      </c>
    </row>
    <row r="761" spans="1:10">
      <c r="A761" s="178">
        <v>40</v>
      </c>
      <c r="B761" s="178" t="s">
        <v>266</v>
      </c>
      <c r="C761" s="178">
        <v>14204342.41</v>
      </c>
      <c r="D761" s="178">
        <v>0</v>
      </c>
      <c r="E761" s="178">
        <v>14204342.41</v>
      </c>
      <c r="F761" s="178">
        <v>134496.49</v>
      </c>
      <c r="G761" s="178">
        <v>134496.49</v>
      </c>
      <c r="H761" s="178">
        <v>14069845.92</v>
      </c>
      <c r="I761" s="178">
        <v>14069845.92</v>
      </c>
      <c r="J761" s="178" t="s">
        <v>497</v>
      </c>
    </row>
    <row r="762" spans="1:10">
      <c r="A762" s="178">
        <v>50</v>
      </c>
      <c r="B762" s="178" t="s">
        <v>267</v>
      </c>
      <c r="C762" s="178">
        <v>10438946.59</v>
      </c>
      <c r="D762" s="178">
        <v>0</v>
      </c>
      <c r="E762" s="178">
        <v>10438946.59</v>
      </c>
      <c r="F762" s="178">
        <v>203530.51</v>
      </c>
      <c r="G762" s="178">
        <v>203530.51</v>
      </c>
      <c r="H762" s="178">
        <v>10235416.08</v>
      </c>
      <c r="I762" s="178">
        <v>10235416.08</v>
      </c>
      <c r="J762" s="178" t="s">
        <v>497</v>
      </c>
    </row>
    <row r="763" spans="1:10">
      <c r="A763" s="178">
        <v>60</v>
      </c>
      <c r="B763" s="178" t="s">
        <v>268</v>
      </c>
      <c r="C763" s="178">
        <v>6628087.12</v>
      </c>
      <c r="D763" s="178">
        <v>0</v>
      </c>
      <c r="E763" s="178">
        <v>6628087.12</v>
      </c>
      <c r="F763" s="178">
        <v>1581052.95</v>
      </c>
      <c r="G763" s="178">
        <v>1581052.95</v>
      </c>
      <c r="H763" s="178">
        <v>5047034.17</v>
      </c>
      <c r="I763" s="178">
        <v>5047034.17</v>
      </c>
      <c r="J763" s="178" t="s">
        <v>497</v>
      </c>
    </row>
    <row r="764" spans="1:10">
      <c r="A764" s="178">
        <v>70</v>
      </c>
      <c r="B764" s="178" t="s">
        <v>269</v>
      </c>
      <c r="C764" s="178">
        <v>959921.68</v>
      </c>
      <c r="D764" s="178">
        <v>0</v>
      </c>
      <c r="E764" s="178">
        <v>959921.68</v>
      </c>
      <c r="F764" s="178">
        <v>-435142.76</v>
      </c>
      <c r="G764" s="178">
        <v>-435142.76</v>
      </c>
      <c r="H764" s="178">
        <v>1395064.44</v>
      </c>
      <c r="I764" s="178">
        <v>1395064.44</v>
      </c>
      <c r="J764" s="178" t="s">
        <v>497</v>
      </c>
    </row>
    <row r="765" spans="1:10">
      <c r="A765" s="178">
        <v>80</v>
      </c>
      <c r="B765" s="178" t="s">
        <v>546</v>
      </c>
      <c r="C765" s="178">
        <v>2125895.57</v>
      </c>
      <c r="D765" s="178">
        <v>0</v>
      </c>
      <c r="E765" s="178">
        <v>2125895.57</v>
      </c>
      <c r="F765" s="178">
        <v>-347386.55</v>
      </c>
      <c r="G765" s="178">
        <v>-347386.55</v>
      </c>
      <c r="H765" s="178">
        <v>2473282.12</v>
      </c>
      <c r="I765" s="178">
        <v>2473282.12</v>
      </c>
      <c r="J765" s="178" t="s">
        <v>497</v>
      </c>
    </row>
    <row r="766" spans="1:10">
      <c r="A766" s="178">
        <v>100</v>
      </c>
      <c r="B766" s="178" t="s">
        <v>547</v>
      </c>
      <c r="C766" s="178">
        <v>39344883.22</v>
      </c>
      <c r="D766" s="178">
        <v>0</v>
      </c>
      <c r="E766" s="178">
        <v>39344883.22</v>
      </c>
      <c r="F766" s="178">
        <v>3529983.26</v>
      </c>
      <c r="G766" s="178">
        <v>3529983.26</v>
      </c>
      <c r="H766" s="178">
        <v>35814899.96</v>
      </c>
      <c r="I766" s="178">
        <v>35814899.96</v>
      </c>
      <c r="J766" s="178" t="s">
        <v>497</v>
      </c>
    </row>
    <row r="767" spans="1:10">
      <c r="A767" s="178">
        <v>110</v>
      </c>
      <c r="B767" s="178" t="s">
        <v>548</v>
      </c>
      <c r="C767" s="178">
        <v>0</v>
      </c>
      <c r="D767" s="178">
        <v>0</v>
      </c>
      <c r="E767" s="178">
        <v>0</v>
      </c>
      <c r="F767" s="178">
        <v>0</v>
      </c>
      <c r="G767" s="178">
        <v>0</v>
      </c>
      <c r="H767" s="178">
        <v>0</v>
      </c>
      <c r="I767" s="178">
        <v>0</v>
      </c>
      <c r="J767" s="178" t="s">
        <v>497</v>
      </c>
    </row>
    <row r="768" spans="1:10">
      <c r="A768" s="178">
        <v>120</v>
      </c>
      <c r="B768" s="178" t="s">
        <v>322</v>
      </c>
      <c r="C768" s="178">
        <v>28877.9</v>
      </c>
      <c r="D768" s="178">
        <v>0</v>
      </c>
      <c r="E768" s="178">
        <v>28877.9</v>
      </c>
      <c r="F768" s="178">
        <v>0</v>
      </c>
      <c r="G768" s="178">
        <v>0</v>
      </c>
      <c r="H768" s="178">
        <v>28877.9</v>
      </c>
      <c r="I768" s="178">
        <v>28877.9</v>
      </c>
      <c r="J768" s="178" t="s">
        <v>497</v>
      </c>
    </row>
    <row r="769" spans="1:10">
      <c r="A769" s="178">
        <v>130</v>
      </c>
      <c r="B769" s="178" t="s">
        <v>282</v>
      </c>
      <c r="C769" s="178">
        <v>23323120.03</v>
      </c>
      <c r="D769" s="178">
        <v>0</v>
      </c>
      <c r="E769" s="178">
        <v>23323120.03</v>
      </c>
      <c r="F769" s="178">
        <v>0</v>
      </c>
      <c r="G769" s="178">
        <v>0</v>
      </c>
      <c r="H769" s="178">
        <v>23323120.03</v>
      </c>
      <c r="I769" s="178">
        <v>23323120.03</v>
      </c>
      <c r="J769" s="178" t="s">
        <v>497</v>
      </c>
    </row>
    <row r="770" spans="1:10">
      <c r="A770" s="178">
        <v>140</v>
      </c>
      <c r="B770" s="178" t="s">
        <v>364</v>
      </c>
      <c r="C770" s="178">
        <v>2422099.85</v>
      </c>
      <c r="D770" s="178">
        <v>0</v>
      </c>
      <c r="E770" s="178">
        <v>2422099.85</v>
      </c>
      <c r="F770" s="178">
        <v>0</v>
      </c>
      <c r="G770" s="178">
        <v>0</v>
      </c>
      <c r="H770" s="178">
        <v>2422099.85</v>
      </c>
      <c r="I770" s="178">
        <v>2422099.85</v>
      </c>
      <c r="J770" s="178" t="s">
        <v>497</v>
      </c>
    </row>
    <row r="771" spans="1:10">
      <c r="A771" s="178">
        <v>150</v>
      </c>
      <c r="B771" s="178" t="s">
        <v>285</v>
      </c>
      <c r="C771" s="178">
        <v>8068401.47</v>
      </c>
      <c r="D771" s="178">
        <v>0</v>
      </c>
      <c r="E771" s="178">
        <v>8068401.47</v>
      </c>
      <c r="F771" s="178">
        <v>0</v>
      </c>
      <c r="G771" s="178">
        <v>0</v>
      </c>
      <c r="H771" s="178">
        <v>8068401.47</v>
      </c>
      <c r="I771" s="178">
        <v>8068401.47</v>
      </c>
      <c r="J771" s="178" t="s">
        <v>497</v>
      </c>
    </row>
    <row r="772" spans="1:10">
      <c r="A772" s="178">
        <v>160</v>
      </c>
      <c r="B772" s="178" t="s">
        <v>284</v>
      </c>
      <c r="C772" s="178">
        <v>78530381.76</v>
      </c>
      <c r="D772" s="178">
        <v>0</v>
      </c>
      <c r="E772" s="178">
        <v>78530381.76</v>
      </c>
      <c r="F772" s="178">
        <v>50000</v>
      </c>
      <c r="G772" s="178">
        <v>50000</v>
      </c>
      <c r="H772" s="178">
        <v>78480381.76</v>
      </c>
      <c r="I772" s="178">
        <v>78480381.76</v>
      </c>
      <c r="J772" s="178" t="s">
        <v>497</v>
      </c>
    </row>
    <row r="773" spans="1:10">
      <c r="A773" s="178">
        <v>170</v>
      </c>
      <c r="B773" s="178" t="s">
        <v>283</v>
      </c>
      <c r="C773" s="178">
        <v>25243430.51</v>
      </c>
      <c r="D773" s="178">
        <v>0</v>
      </c>
      <c r="E773" s="178">
        <v>25243430.51</v>
      </c>
      <c r="F773" s="178">
        <v>392083.62</v>
      </c>
      <c r="G773" s="178">
        <v>392083.62</v>
      </c>
      <c r="H773" s="178">
        <v>24851346.89</v>
      </c>
      <c r="I773" s="178">
        <v>24851346.89</v>
      </c>
      <c r="J773" s="178" t="s">
        <v>497</v>
      </c>
    </row>
    <row r="774" spans="1:10">
      <c r="A774" s="178">
        <v>175</v>
      </c>
      <c r="B774" s="178" t="s">
        <v>562</v>
      </c>
      <c r="C774" s="178">
        <v>7366017.83</v>
      </c>
      <c r="D774" s="178">
        <v>0</v>
      </c>
      <c r="E774" s="178">
        <v>7366017.83</v>
      </c>
      <c r="F774" s="178">
        <v>0</v>
      </c>
      <c r="G774" s="178">
        <v>0</v>
      </c>
      <c r="H774" s="178">
        <v>7366017.83</v>
      </c>
      <c r="I774" s="178">
        <v>7366017.83</v>
      </c>
      <c r="J774" s="178" t="s">
        <v>497</v>
      </c>
    </row>
    <row r="775" spans="1:10">
      <c r="A775" s="178">
        <v>180</v>
      </c>
      <c r="B775" s="178" t="s">
        <v>366</v>
      </c>
      <c r="C775" s="178">
        <v>0</v>
      </c>
      <c r="D775" s="178">
        <v>0</v>
      </c>
      <c r="E775" s="178">
        <v>0</v>
      </c>
      <c r="F775" s="178">
        <v>0</v>
      </c>
      <c r="G775" s="178">
        <v>0</v>
      </c>
      <c r="H775" s="178">
        <v>0</v>
      </c>
      <c r="I775" s="178">
        <v>0</v>
      </c>
      <c r="J775" s="178" t="s">
        <v>497</v>
      </c>
    </row>
    <row r="776" spans="1:10">
      <c r="A776" s="178">
        <v>190</v>
      </c>
      <c r="B776" s="178" t="s">
        <v>367</v>
      </c>
      <c r="C776" s="178">
        <v>-74773204.47</v>
      </c>
      <c r="D776" s="178">
        <v>0</v>
      </c>
      <c r="E776" s="178">
        <v>-74773204.47</v>
      </c>
      <c r="F776" s="178">
        <v>-631871.85</v>
      </c>
      <c r="G776" s="178">
        <v>-631871.85</v>
      </c>
      <c r="H776" s="178">
        <v>-74141332.62</v>
      </c>
      <c r="I776" s="178">
        <v>-74141332.62</v>
      </c>
      <c r="J776" s="178" t="s">
        <v>497</v>
      </c>
    </row>
    <row r="777" spans="1:10">
      <c r="A777" s="178">
        <v>200</v>
      </c>
      <c r="B777" s="178" t="s">
        <v>368</v>
      </c>
      <c r="C777" s="178">
        <v>70209124.88</v>
      </c>
      <c r="D777" s="178">
        <v>0</v>
      </c>
      <c r="E777" s="178">
        <v>70209124.88</v>
      </c>
      <c r="F777" s="178">
        <v>-189788.23</v>
      </c>
      <c r="G777" s="178">
        <v>-189788.23</v>
      </c>
      <c r="H777" s="178">
        <v>70398913.11</v>
      </c>
      <c r="I777" s="178">
        <v>70398913.11</v>
      </c>
      <c r="J777" s="178" t="s">
        <v>497</v>
      </c>
    </row>
    <row r="778" spans="1:10">
      <c r="A778" s="178">
        <v>210</v>
      </c>
      <c r="B778" s="178" t="s">
        <v>549</v>
      </c>
      <c r="C778" s="178">
        <v>0</v>
      </c>
      <c r="D778" s="178">
        <v>0</v>
      </c>
      <c r="E778" s="178">
        <v>0</v>
      </c>
      <c r="F778" s="178">
        <v>0</v>
      </c>
      <c r="G778" s="178">
        <v>0</v>
      </c>
      <c r="H778" s="178">
        <v>0</v>
      </c>
      <c r="I778" s="178">
        <v>0</v>
      </c>
      <c r="J778" s="178" t="s">
        <v>497</v>
      </c>
    </row>
    <row r="779" spans="1:10">
      <c r="A779" s="178">
        <v>220</v>
      </c>
      <c r="B779" s="178" t="s">
        <v>370</v>
      </c>
      <c r="C779" s="178">
        <v>559451.97</v>
      </c>
      <c r="D779" s="178">
        <v>0</v>
      </c>
      <c r="E779" s="178">
        <v>559451.97</v>
      </c>
      <c r="F779" s="178">
        <v>0</v>
      </c>
      <c r="G779" s="178">
        <v>0</v>
      </c>
      <c r="H779" s="178">
        <v>559451.97</v>
      </c>
      <c r="I779" s="178">
        <v>559451.97</v>
      </c>
      <c r="J779" s="178" t="s">
        <v>497</v>
      </c>
    </row>
    <row r="780" spans="1:10">
      <c r="A780" s="178">
        <v>230</v>
      </c>
      <c r="B780" s="178" t="s">
        <v>371</v>
      </c>
      <c r="C780" s="178">
        <v>5534458.9</v>
      </c>
      <c r="D780" s="178">
        <v>0</v>
      </c>
      <c r="E780" s="178">
        <v>5534458.9</v>
      </c>
      <c r="F780" s="178">
        <v>0</v>
      </c>
      <c r="G780" s="178">
        <v>0</v>
      </c>
      <c r="H780" s="178">
        <v>5534458.9</v>
      </c>
      <c r="I780" s="178">
        <v>5534458.9</v>
      </c>
      <c r="J780" s="178" t="s">
        <v>497</v>
      </c>
    </row>
    <row r="781" spans="1:10">
      <c r="A781" s="178">
        <v>240</v>
      </c>
      <c r="B781" s="178" t="s">
        <v>372</v>
      </c>
      <c r="C781" s="178">
        <v>0</v>
      </c>
      <c r="D781" s="178">
        <v>0</v>
      </c>
      <c r="E781" s="178">
        <v>0</v>
      </c>
      <c r="F781" s="178">
        <v>0</v>
      </c>
      <c r="G781" s="178">
        <v>0</v>
      </c>
      <c r="H781" s="178">
        <v>0</v>
      </c>
      <c r="I781" s="178">
        <v>0</v>
      </c>
      <c r="J781" s="178" t="s">
        <v>497</v>
      </c>
    </row>
    <row r="782" spans="1:10">
      <c r="A782" s="178">
        <v>250</v>
      </c>
      <c r="B782" s="178" t="s">
        <v>373</v>
      </c>
      <c r="C782" s="178">
        <v>6093910.87</v>
      </c>
      <c r="D782" s="178">
        <v>0</v>
      </c>
      <c r="E782" s="178">
        <v>6093910.87</v>
      </c>
      <c r="F782" s="178">
        <v>0</v>
      </c>
      <c r="G782" s="178">
        <v>0</v>
      </c>
      <c r="H782" s="178">
        <v>6093910.87</v>
      </c>
      <c r="I782" s="178">
        <v>6093910.87</v>
      </c>
      <c r="J782" s="178" t="s">
        <v>497</v>
      </c>
    </row>
    <row r="783" spans="1:10">
      <c r="A783" s="178">
        <v>260</v>
      </c>
      <c r="B783" s="178" t="s">
        <v>374</v>
      </c>
      <c r="C783" s="178">
        <v>0</v>
      </c>
      <c r="D783" s="178">
        <v>0</v>
      </c>
      <c r="E783" s="178">
        <v>0</v>
      </c>
      <c r="F783" s="178">
        <v>0</v>
      </c>
      <c r="G783" s="178">
        <v>0</v>
      </c>
      <c r="H783" s="178">
        <v>0</v>
      </c>
      <c r="I783" s="178">
        <v>0</v>
      </c>
      <c r="J783" s="178" t="s">
        <v>497</v>
      </c>
    </row>
    <row r="784" spans="1:10">
      <c r="A784" s="178">
        <v>270</v>
      </c>
      <c r="B784" s="178" t="s">
        <v>375</v>
      </c>
      <c r="C784" s="178">
        <v>1181384.1</v>
      </c>
      <c r="D784" s="178">
        <v>0</v>
      </c>
      <c r="E784" s="178">
        <v>1181384.1</v>
      </c>
      <c r="F784" s="178">
        <v>0</v>
      </c>
      <c r="G784" s="178">
        <v>0</v>
      </c>
      <c r="H784" s="178">
        <v>1181384.1</v>
      </c>
      <c r="I784" s="178">
        <v>1181384.1</v>
      </c>
      <c r="J784" s="178" t="s">
        <v>497</v>
      </c>
    </row>
    <row r="785" spans="1:10">
      <c r="A785" s="178">
        <v>280</v>
      </c>
      <c r="B785" s="178" t="s">
        <v>550</v>
      </c>
      <c r="C785" s="178">
        <v>1181384.1</v>
      </c>
      <c r="D785" s="178">
        <v>0</v>
      </c>
      <c r="E785" s="178">
        <v>1181384.1</v>
      </c>
      <c r="F785" s="178">
        <v>0</v>
      </c>
      <c r="G785" s="178">
        <v>0</v>
      </c>
      <c r="H785" s="178">
        <v>1181384.1</v>
      </c>
      <c r="I785" s="178">
        <v>1181384.1</v>
      </c>
      <c r="J785" s="178" t="s">
        <v>497</v>
      </c>
    </row>
    <row r="786" spans="1:10">
      <c r="A786" s="178">
        <v>400</v>
      </c>
      <c r="B786" s="178" t="s">
        <v>377</v>
      </c>
      <c r="C786" s="178">
        <v>116829303.07</v>
      </c>
      <c r="D786" s="178">
        <v>0</v>
      </c>
      <c r="E786" s="178">
        <v>116829303.07</v>
      </c>
      <c r="F786" s="178">
        <v>3340195.03</v>
      </c>
      <c r="G786" s="178">
        <v>3340195.03</v>
      </c>
      <c r="H786" s="178">
        <v>113489108.04</v>
      </c>
      <c r="I786" s="178">
        <v>113489108.04</v>
      </c>
      <c r="J786" s="178" t="s">
        <v>497</v>
      </c>
    </row>
    <row r="787" spans="1:10">
      <c r="A787" s="178">
        <v>410</v>
      </c>
      <c r="B787" s="178" t="s">
        <v>551</v>
      </c>
      <c r="C787" s="178">
        <v>0</v>
      </c>
      <c r="D787" s="178">
        <v>0</v>
      </c>
      <c r="E787" s="178">
        <v>0</v>
      </c>
      <c r="F787" s="178">
        <v>0</v>
      </c>
      <c r="G787" s="178">
        <v>0</v>
      </c>
      <c r="H787" s="178">
        <v>0</v>
      </c>
      <c r="I787" s="178">
        <v>0</v>
      </c>
      <c r="J787" s="178" t="s">
        <v>497</v>
      </c>
    </row>
    <row r="788" spans="1:10">
      <c r="A788" s="178">
        <v>420</v>
      </c>
      <c r="B788" s="178" t="s">
        <v>270</v>
      </c>
      <c r="C788" s="178">
        <v>9153817.88</v>
      </c>
      <c r="D788" s="178">
        <v>0</v>
      </c>
      <c r="E788" s="178">
        <v>9153817.88</v>
      </c>
      <c r="F788" s="178">
        <v>645668.8</v>
      </c>
      <c r="G788" s="178">
        <v>645668.8</v>
      </c>
      <c r="H788" s="178">
        <v>8508149.08</v>
      </c>
      <c r="I788" s="178">
        <v>8508149.08</v>
      </c>
      <c r="J788" s="178" t="s">
        <v>497</v>
      </c>
    </row>
    <row r="789" spans="1:10">
      <c r="A789" s="178">
        <v>430</v>
      </c>
      <c r="B789" s="178" t="s">
        <v>379</v>
      </c>
      <c r="C789" s="178">
        <v>8248889.4</v>
      </c>
      <c r="D789" s="178">
        <v>0</v>
      </c>
      <c r="E789" s="178">
        <v>8248889.4</v>
      </c>
      <c r="F789" s="178">
        <v>121788.54</v>
      </c>
      <c r="G789" s="178">
        <v>121788.54</v>
      </c>
      <c r="H789" s="178">
        <v>8127100.86</v>
      </c>
      <c r="I789" s="178">
        <v>8127100.86</v>
      </c>
      <c r="J789" s="178" t="s">
        <v>497</v>
      </c>
    </row>
    <row r="790" spans="1:10">
      <c r="A790" s="178">
        <v>440</v>
      </c>
      <c r="B790" s="178" t="s">
        <v>380</v>
      </c>
      <c r="C790" s="178">
        <v>0</v>
      </c>
      <c r="D790" s="178">
        <v>0</v>
      </c>
      <c r="E790" s="178">
        <v>0</v>
      </c>
      <c r="F790" s="178">
        <v>0</v>
      </c>
      <c r="G790" s="178">
        <v>0</v>
      </c>
      <c r="H790" s="178">
        <v>0</v>
      </c>
      <c r="I790" s="178">
        <v>0</v>
      </c>
      <c r="J790" s="178" t="s">
        <v>497</v>
      </c>
    </row>
    <row r="791" spans="1:10">
      <c r="A791" s="178">
        <v>450</v>
      </c>
      <c r="B791" s="178" t="s">
        <v>552</v>
      </c>
      <c r="C791" s="178">
        <v>5832745.93</v>
      </c>
      <c r="D791" s="178">
        <v>0</v>
      </c>
      <c r="E791" s="178">
        <v>5832745.93</v>
      </c>
      <c r="F791" s="178">
        <v>33680.4</v>
      </c>
      <c r="G791" s="178">
        <v>33680.4</v>
      </c>
      <c r="H791" s="178">
        <v>5799065.53</v>
      </c>
      <c r="I791" s="178">
        <v>5799065.53</v>
      </c>
      <c r="J791" s="178" t="s">
        <v>497</v>
      </c>
    </row>
    <row r="792" spans="1:10">
      <c r="A792" s="178">
        <v>460</v>
      </c>
      <c r="B792" s="178" t="s">
        <v>553</v>
      </c>
      <c r="C792" s="178">
        <v>0</v>
      </c>
      <c r="D792" s="178">
        <v>0</v>
      </c>
      <c r="E792" s="178">
        <v>0</v>
      </c>
      <c r="F792" s="178">
        <v>0</v>
      </c>
      <c r="G792" s="178">
        <v>0</v>
      </c>
      <c r="H792" s="178">
        <v>0</v>
      </c>
      <c r="I792" s="178">
        <v>0</v>
      </c>
      <c r="J792" s="178" t="s">
        <v>497</v>
      </c>
    </row>
    <row r="793" spans="1:10">
      <c r="A793" s="178">
        <v>500</v>
      </c>
      <c r="B793" s="178" t="s">
        <v>383</v>
      </c>
      <c r="C793" s="178">
        <v>23235453.21</v>
      </c>
      <c r="D793" s="178">
        <v>0</v>
      </c>
      <c r="E793" s="178">
        <v>23235453.21</v>
      </c>
      <c r="F793" s="178">
        <v>801137.74</v>
      </c>
      <c r="G793" s="178">
        <v>801137.74</v>
      </c>
      <c r="H793" s="178">
        <v>22434315.47</v>
      </c>
      <c r="I793" s="178">
        <v>22434315.47</v>
      </c>
      <c r="J793" s="178" t="s">
        <v>497</v>
      </c>
    </row>
    <row r="794" spans="1:10">
      <c r="A794" s="178">
        <v>510</v>
      </c>
      <c r="B794" s="178" t="s">
        <v>554</v>
      </c>
      <c r="C794" s="178">
        <v>0</v>
      </c>
      <c r="D794" s="178">
        <v>0</v>
      </c>
      <c r="E794" s="178">
        <v>0</v>
      </c>
      <c r="F794" s="178">
        <v>0</v>
      </c>
      <c r="G794" s="178">
        <v>0</v>
      </c>
      <c r="H794" s="178">
        <v>0</v>
      </c>
      <c r="I794" s="178">
        <v>0</v>
      </c>
      <c r="J794" s="178" t="s">
        <v>497</v>
      </c>
    </row>
    <row r="795" spans="1:10">
      <c r="A795" s="178">
        <v>520</v>
      </c>
      <c r="B795" s="178" t="s">
        <v>555</v>
      </c>
      <c r="C795" s="178">
        <v>46426.68</v>
      </c>
      <c r="D795" s="178">
        <v>0</v>
      </c>
      <c r="E795" s="178">
        <v>46426.68</v>
      </c>
      <c r="F795" s="178">
        <v>0</v>
      </c>
      <c r="G795" s="178">
        <v>0</v>
      </c>
      <c r="H795" s="178">
        <v>46426.68</v>
      </c>
      <c r="I795" s="178">
        <v>46426.68</v>
      </c>
      <c r="J795" s="178" t="s">
        <v>497</v>
      </c>
    </row>
    <row r="796" spans="1:10">
      <c r="A796" s="178">
        <v>530</v>
      </c>
      <c r="B796" s="178" t="s">
        <v>555</v>
      </c>
      <c r="C796" s="178">
        <v>0</v>
      </c>
      <c r="D796" s="178">
        <v>0</v>
      </c>
      <c r="E796" s="178">
        <v>0</v>
      </c>
      <c r="F796" s="178">
        <v>0</v>
      </c>
      <c r="G796" s="178">
        <v>0</v>
      </c>
      <c r="H796" s="178">
        <v>0</v>
      </c>
      <c r="I796" s="178">
        <v>0</v>
      </c>
      <c r="J796" s="178" t="s">
        <v>497</v>
      </c>
    </row>
    <row r="797" spans="1:10">
      <c r="A797" s="178">
        <v>540</v>
      </c>
      <c r="B797" s="178" t="s">
        <v>387</v>
      </c>
      <c r="C797" s="178">
        <v>177572.81</v>
      </c>
      <c r="D797" s="178">
        <v>0</v>
      </c>
      <c r="E797" s="178">
        <v>177572.81</v>
      </c>
      <c r="F797" s="178">
        <v>0</v>
      </c>
      <c r="G797" s="178">
        <v>0</v>
      </c>
      <c r="H797" s="178">
        <v>177572.81</v>
      </c>
      <c r="I797" s="178">
        <v>177572.81</v>
      </c>
      <c r="J797" s="178" t="s">
        <v>497</v>
      </c>
    </row>
    <row r="798" spans="1:10">
      <c r="A798" s="178">
        <v>600</v>
      </c>
      <c r="B798" s="178" t="s">
        <v>388</v>
      </c>
      <c r="C798" s="178">
        <v>223999.49</v>
      </c>
      <c r="D798" s="178">
        <v>0</v>
      </c>
      <c r="E798" s="178">
        <v>223999.49</v>
      </c>
      <c r="F798" s="178">
        <v>0</v>
      </c>
      <c r="G798" s="178">
        <v>0</v>
      </c>
      <c r="H798" s="178">
        <v>223999.49</v>
      </c>
      <c r="I798" s="178">
        <v>223999.49</v>
      </c>
      <c r="J798" s="178" t="s">
        <v>497</v>
      </c>
    </row>
    <row r="799" spans="1:10">
      <c r="A799" s="178">
        <v>610</v>
      </c>
      <c r="B799" s="178" t="s">
        <v>556</v>
      </c>
      <c r="C799" s="178">
        <v>0</v>
      </c>
      <c r="D799" s="178">
        <v>0</v>
      </c>
      <c r="E799" s="178">
        <v>0</v>
      </c>
      <c r="F799" s="178">
        <v>0</v>
      </c>
      <c r="G799" s="178">
        <v>0</v>
      </c>
      <c r="H799" s="178">
        <v>0</v>
      </c>
      <c r="I799" s="178">
        <v>0</v>
      </c>
      <c r="J799" s="178" t="s">
        <v>497</v>
      </c>
    </row>
    <row r="800" spans="1:10">
      <c r="A800" s="178">
        <v>620</v>
      </c>
      <c r="B800" s="178" t="s">
        <v>390</v>
      </c>
      <c r="C800" s="178">
        <v>0</v>
      </c>
      <c r="D800" s="178">
        <v>0</v>
      </c>
      <c r="E800" s="178">
        <v>0</v>
      </c>
      <c r="F800" s="178">
        <v>0</v>
      </c>
      <c r="G800" s="178">
        <v>0</v>
      </c>
      <c r="H800" s="178">
        <v>0</v>
      </c>
      <c r="I800" s="178">
        <v>0</v>
      </c>
      <c r="J800" s="178" t="s">
        <v>497</v>
      </c>
    </row>
    <row r="801" spans="1:10">
      <c r="A801" s="178">
        <v>700</v>
      </c>
      <c r="B801" s="178" t="s">
        <v>557</v>
      </c>
      <c r="C801" s="178">
        <v>0</v>
      </c>
      <c r="D801" s="178">
        <v>0</v>
      </c>
      <c r="E801" s="178">
        <v>0</v>
      </c>
      <c r="F801" s="178">
        <v>0</v>
      </c>
      <c r="G801" s="178">
        <v>0</v>
      </c>
      <c r="H801" s="178">
        <v>0</v>
      </c>
      <c r="I801" s="178">
        <v>0</v>
      </c>
      <c r="J801" s="178" t="s">
        <v>497</v>
      </c>
    </row>
    <row r="802" spans="1:10">
      <c r="A802" s="178">
        <v>710</v>
      </c>
      <c r="B802" s="178" t="s">
        <v>558</v>
      </c>
      <c r="C802" s="178">
        <v>0</v>
      </c>
      <c r="D802" s="178">
        <v>0</v>
      </c>
      <c r="E802" s="178">
        <v>0</v>
      </c>
      <c r="F802" s="178">
        <v>0</v>
      </c>
      <c r="G802" s="178">
        <v>0</v>
      </c>
      <c r="H802" s="178">
        <v>0</v>
      </c>
      <c r="I802" s="178">
        <v>0</v>
      </c>
      <c r="J802" s="178" t="s">
        <v>497</v>
      </c>
    </row>
    <row r="803" spans="1:10">
      <c r="A803" s="178">
        <v>720</v>
      </c>
      <c r="B803" s="178" t="s">
        <v>276</v>
      </c>
      <c r="C803" s="178">
        <v>41834615.66</v>
      </c>
      <c r="D803" s="178">
        <v>0</v>
      </c>
      <c r="E803" s="178">
        <v>41834615.66</v>
      </c>
      <c r="F803" s="178">
        <v>0</v>
      </c>
      <c r="G803" s="178">
        <v>0</v>
      </c>
      <c r="H803" s="178">
        <v>41834615.66</v>
      </c>
      <c r="I803" s="178">
        <v>41834615.66</v>
      </c>
      <c r="J803" s="178" t="s">
        <v>497</v>
      </c>
    </row>
    <row r="804" spans="1:10">
      <c r="A804" s="178">
        <v>730</v>
      </c>
      <c r="B804" s="178" t="s">
        <v>393</v>
      </c>
      <c r="C804" s="178">
        <v>1340871.64</v>
      </c>
      <c r="D804" s="178">
        <v>0</v>
      </c>
      <c r="E804" s="178">
        <v>1340871.64</v>
      </c>
      <c r="F804" s="178">
        <v>0</v>
      </c>
      <c r="G804" s="178">
        <v>0</v>
      </c>
      <c r="H804" s="178">
        <v>1340871.64</v>
      </c>
      <c r="I804" s="178">
        <v>1340871.64</v>
      </c>
      <c r="J804" s="178" t="s">
        <v>497</v>
      </c>
    </row>
    <row r="805" spans="1:10">
      <c r="A805" s="178">
        <v>740</v>
      </c>
      <c r="B805" s="178" t="s">
        <v>394</v>
      </c>
      <c r="C805" s="178">
        <v>47655305.78</v>
      </c>
      <c r="D805" s="178">
        <v>0</v>
      </c>
      <c r="E805" s="178">
        <v>47655305.78</v>
      </c>
      <c r="F805" s="178">
        <v>0</v>
      </c>
      <c r="G805" s="178">
        <v>0</v>
      </c>
      <c r="H805" s="178">
        <v>24011479.26</v>
      </c>
      <c r="I805" s="178">
        <v>47655305.78</v>
      </c>
      <c r="J805" s="178" t="s">
        <v>497</v>
      </c>
    </row>
    <row r="806" spans="1:10">
      <c r="A806" s="178">
        <v>750</v>
      </c>
      <c r="B806" s="178" t="s">
        <v>395</v>
      </c>
      <c r="C806" s="178">
        <v>2539057.29</v>
      </c>
      <c r="D806" s="178">
        <v>2659428</v>
      </c>
      <c r="E806" s="178">
        <v>-120370.71</v>
      </c>
      <c r="F806" s="178">
        <v>2539057.29</v>
      </c>
      <c r="G806" s="178">
        <v>2539057.29</v>
      </c>
      <c r="H806" s="178">
        <v>23643826.52</v>
      </c>
      <c r="I806" s="178">
        <v>0</v>
      </c>
      <c r="J806" s="178" t="s">
        <v>497</v>
      </c>
    </row>
    <row r="807" spans="1:10">
      <c r="A807" s="178">
        <v>760</v>
      </c>
      <c r="B807" s="178" t="s">
        <v>396</v>
      </c>
      <c r="C807" s="178">
        <v>0</v>
      </c>
      <c r="D807" s="178">
        <v>0</v>
      </c>
      <c r="E807" s="178">
        <v>0</v>
      </c>
      <c r="F807" s="178">
        <v>0</v>
      </c>
      <c r="G807" s="178">
        <v>0</v>
      </c>
      <c r="H807" s="178">
        <v>0</v>
      </c>
      <c r="I807" s="178">
        <v>0</v>
      </c>
      <c r="J807" s="178" t="s">
        <v>497</v>
      </c>
    </row>
    <row r="808" spans="1:10">
      <c r="A808" s="178">
        <v>770</v>
      </c>
      <c r="B808" s="178" t="s">
        <v>397</v>
      </c>
      <c r="C808" s="178">
        <v>0</v>
      </c>
      <c r="D808" s="178">
        <v>0</v>
      </c>
      <c r="E808" s="178">
        <v>0</v>
      </c>
      <c r="F808" s="178">
        <v>0</v>
      </c>
      <c r="G808" s="178">
        <v>0</v>
      </c>
      <c r="H808" s="178">
        <v>0</v>
      </c>
      <c r="I808" s="178">
        <v>0</v>
      </c>
      <c r="J808" s="178" t="s">
        <v>497</v>
      </c>
    </row>
    <row r="809" spans="1:10">
      <c r="A809" s="178">
        <v>800</v>
      </c>
      <c r="B809" s="178" t="s">
        <v>398</v>
      </c>
      <c r="C809" s="178">
        <v>93369850.37</v>
      </c>
      <c r="D809" s="178">
        <v>2659428</v>
      </c>
      <c r="E809" s="178">
        <v>90710422.37</v>
      </c>
      <c r="F809" s="178">
        <v>2539057.29</v>
      </c>
      <c r="G809" s="178">
        <v>2539057.29</v>
      </c>
      <c r="H809" s="178">
        <v>90830793.08</v>
      </c>
      <c r="I809" s="178">
        <v>90830793.08</v>
      </c>
      <c r="J809" s="178" t="s">
        <v>497</v>
      </c>
    </row>
    <row r="810" spans="1:10">
      <c r="A810" s="178">
        <v>900</v>
      </c>
      <c r="B810" s="178" t="s">
        <v>399</v>
      </c>
      <c r="C810" s="178">
        <v>116829303.07</v>
      </c>
      <c r="D810" s="178">
        <v>2659428</v>
      </c>
      <c r="E810" s="178">
        <v>114169875.07</v>
      </c>
      <c r="F810" s="178">
        <v>3340195.03</v>
      </c>
      <c r="G810" s="178">
        <v>3340195.03</v>
      </c>
      <c r="H810" s="178">
        <v>113489108.04</v>
      </c>
      <c r="I810" s="178">
        <v>113489108.04</v>
      </c>
      <c r="J810" s="178" t="s">
        <v>497</v>
      </c>
    </row>
    <row r="811" spans="1:10">
      <c r="A811" s="178">
        <v>1000</v>
      </c>
      <c r="B811" s="178" t="s">
        <v>559</v>
      </c>
      <c r="C811" s="178">
        <v>0</v>
      </c>
      <c r="D811" s="178">
        <v>-2659428</v>
      </c>
      <c r="E811" s="178">
        <v>2659428</v>
      </c>
      <c r="F811" s="178">
        <v>0</v>
      </c>
      <c r="G811" s="178">
        <v>0</v>
      </c>
      <c r="H811" s="178">
        <v>0</v>
      </c>
      <c r="I811" s="178">
        <v>0</v>
      </c>
      <c r="J811" s="178" t="s">
        <v>497</v>
      </c>
    </row>
    <row r="812" spans="1:10">
      <c r="A812" s="178" t="s">
        <v>448</v>
      </c>
      <c r="B812" s="178" t="s">
        <v>402</v>
      </c>
      <c r="C812" s="178" t="s">
        <v>538</v>
      </c>
      <c r="D812" s="178" t="s">
        <v>539</v>
      </c>
      <c r="E812" s="178" t="s">
        <v>540</v>
      </c>
      <c r="F812" s="178" t="s">
        <v>541</v>
      </c>
      <c r="G812" s="178" t="s">
        <v>542</v>
      </c>
      <c r="H812" s="178" t="s">
        <v>543</v>
      </c>
      <c r="I812" s="178" t="s">
        <v>544</v>
      </c>
      <c r="J812" s="178" t="s">
        <v>405</v>
      </c>
    </row>
    <row r="813" spans="1:10">
      <c r="A813" s="178">
        <v>10</v>
      </c>
      <c r="B813" s="178" t="s">
        <v>545</v>
      </c>
      <c r="C813" s="178">
        <v>0</v>
      </c>
      <c r="D813" s="178">
        <v>0</v>
      </c>
      <c r="E813" s="178">
        <v>0</v>
      </c>
      <c r="F813" s="178">
        <v>0</v>
      </c>
      <c r="G813" s="178">
        <v>0</v>
      </c>
      <c r="H813" s="178">
        <v>0</v>
      </c>
      <c r="I813" s="178">
        <v>0</v>
      </c>
      <c r="J813" s="178" t="s">
        <v>497</v>
      </c>
    </row>
    <row r="814" spans="1:10">
      <c r="A814" s="178">
        <v>20</v>
      </c>
      <c r="B814" s="178" t="s">
        <v>359</v>
      </c>
      <c r="C814" s="178">
        <v>6431020.74</v>
      </c>
      <c r="D814" s="178">
        <v>0</v>
      </c>
      <c r="E814" s="178">
        <v>6431020.74</v>
      </c>
      <c r="F814" s="178">
        <v>-1338623.7</v>
      </c>
      <c r="G814" s="178">
        <v>-1338623.7</v>
      </c>
      <c r="H814" s="178">
        <v>7769644.44</v>
      </c>
      <c r="I814" s="178">
        <v>7769644.44</v>
      </c>
      <c r="J814" s="178" t="s">
        <v>497</v>
      </c>
    </row>
    <row r="815" spans="1:10">
      <c r="A815" s="178">
        <v>30</v>
      </c>
      <c r="B815" s="178" t="s">
        <v>360</v>
      </c>
      <c r="C815" s="178">
        <v>29999976.14</v>
      </c>
      <c r="D815" s="178">
        <v>0</v>
      </c>
      <c r="E815" s="178">
        <v>29999976.14</v>
      </c>
      <c r="F815" s="178">
        <v>3000006.99</v>
      </c>
      <c r="G815" s="178">
        <v>3000006.99</v>
      </c>
      <c r="H815" s="178">
        <v>26999969.15</v>
      </c>
      <c r="I815" s="178">
        <v>26999969.15</v>
      </c>
      <c r="J815" s="178" t="s">
        <v>497</v>
      </c>
    </row>
    <row r="816" spans="1:10">
      <c r="A816" s="178">
        <v>40</v>
      </c>
      <c r="B816" s="178" t="s">
        <v>266</v>
      </c>
      <c r="C816" s="178">
        <v>11507232.32</v>
      </c>
      <c r="D816" s="178">
        <v>0</v>
      </c>
      <c r="E816" s="178">
        <v>11507232.32</v>
      </c>
      <c r="F816" s="178">
        <v>-36329.87</v>
      </c>
      <c r="G816" s="178">
        <v>-36329.87</v>
      </c>
      <c r="H816" s="178">
        <v>11543562.19</v>
      </c>
      <c r="I816" s="178">
        <v>11543562.19</v>
      </c>
      <c r="J816" s="178" t="s">
        <v>497</v>
      </c>
    </row>
    <row r="817" spans="1:10">
      <c r="A817" s="178">
        <v>50</v>
      </c>
      <c r="B817" s="178" t="s">
        <v>267</v>
      </c>
      <c r="C817" s="178">
        <v>373271.38</v>
      </c>
      <c r="D817" s="178">
        <v>0</v>
      </c>
      <c r="E817" s="178">
        <v>373271.38</v>
      </c>
      <c r="F817" s="178">
        <v>147831.06</v>
      </c>
      <c r="G817" s="178">
        <v>147831.06</v>
      </c>
      <c r="H817" s="178">
        <v>225440.32</v>
      </c>
      <c r="I817" s="178">
        <v>225440.32</v>
      </c>
      <c r="J817" s="178" t="s">
        <v>497</v>
      </c>
    </row>
    <row r="818" spans="1:10">
      <c r="A818" s="178">
        <v>60</v>
      </c>
      <c r="B818" s="178" t="s">
        <v>268</v>
      </c>
      <c r="C818" s="178">
        <v>3063790.03</v>
      </c>
      <c r="D818" s="178">
        <v>0</v>
      </c>
      <c r="E818" s="178">
        <v>3063790.03</v>
      </c>
      <c r="F818" s="178">
        <v>838230.19</v>
      </c>
      <c r="G818" s="178">
        <v>838230.19</v>
      </c>
      <c r="H818" s="178">
        <v>2225559.84</v>
      </c>
      <c r="I818" s="178">
        <v>2225559.84</v>
      </c>
      <c r="J818" s="178" t="s">
        <v>497</v>
      </c>
    </row>
    <row r="819" spans="1:10">
      <c r="A819" s="178">
        <v>70</v>
      </c>
      <c r="B819" s="178" t="s">
        <v>269</v>
      </c>
      <c r="C819" s="178">
        <v>1011694.08</v>
      </c>
      <c r="D819" s="178">
        <v>0</v>
      </c>
      <c r="E819" s="178">
        <v>1011694.08</v>
      </c>
      <c r="F819" s="178">
        <v>-49119.15</v>
      </c>
      <c r="G819" s="178">
        <v>-49119.15</v>
      </c>
      <c r="H819" s="178">
        <v>1060813.23</v>
      </c>
      <c r="I819" s="178">
        <v>1060813.23</v>
      </c>
      <c r="J819" s="178" t="s">
        <v>497</v>
      </c>
    </row>
    <row r="820" spans="1:10">
      <c r="A820" s="178">
        <v>80</v>
      </c>
      <c r="B820" s="178" t="s">
        <v>560</v>
      </c>
      <c r="C820" s="178">
        <v>2123367.27</v>
      </c>
      <c r="D820" s="178">
        <v>0</v>
      </c>
      <c r="E820" s="178">
        <v>2123367.27</v>
      </c>
      <c r="F820" s="178">
        <v>179605.71</v>
      </c>
      <c r="G820" s="178">
        <v>179605.71</v>
      </c>
      <c r="H820" s="178">
        <v>1943761.56</v>
      </c>
      <c r="I820" s="178">
        <v>1943761.56</v>
      </c>
      <c r="J820" s="178" t="s">
        <v>497</v>
      </c>
    </row>
    <row r="821" spans="1:10">
      <c r="A821" s="178">
        <v>100</v>
      </c>
      <c r="B821" s="178" t="s">
        <v>547</v>
      </c>
      <c r="C821" s="178">
        <v>54510351.96</v>
      </c>
      <c r="D821" s="178">
        <v>0</v>
      </c>
      <c r="E821" s="178">
        <v>54510351.96</v>
      </c>
      <c r="F821" s="178">
        <v>2741601.23</v>
      </c>
      <c r="G821" s="178">
        <v>2741601.23</v>
      </c>
      <c r="H821" s="178">
        <v>51768750.73</v>
      </c>
      <c r="I821" s="178">
        <v>51768750.73</v>
      </c>
      <c r="J821" s="178" t="s">
        <v>497</v>
      </c>
    </row>
    <row r="822" spans="1:10">
      <c r="A822" s="178">
        <v>110</v>
      </c>
      <c r="B822" s="178" t="s">
        <v>548</v>
      </c>
      <c r="C822" s="178">
        <v>0</v>
      </c>
      <c r="D822" s="178">
        <v>0</v>
      </c>
      <c r="E822" s="178">
        <v>0</v>
      </c>
      <c r="F822" s="178">
        <v>0</v>
      </c>
      <c r="G822" s="178">
        <v>0</v>
      </c>
      <c r="H822" s="178">
        <v>0</v>
      </c>
      <c r="I822" s="178">
        <v>0</v>
      </c>
      <c r="J822" s="178" t="s">
        <v>497</v>
      </c>
    </row>
    <row r="823" spans="1:10">
      <c r="A823" s="178">
        <v>120</v>
      </c>
      <c r="B823" s="178" t="s">
        <v>322</v>
      </c>
      <c r="C823" s="178">
        <v>6385346.75</v>
      </c>
      <c r="D823" s="178">
        <v>0</v>
      </c>
      <c r="E823" s="178">
        <v>6385346.75</v>
      </c>
      <c r="F823" s="178">
        <v>0</v>
      </c>
      <c r="G823" s="178">
        <v>0</v>
      </c>
      <c r="H823" s="178">
        <v>6385346.75</v>
      </c>
      <c r="I823" s="178">
        <v>6385346.75</v>
      </c>
      <c r="J823" s="178" t="s">
        <v>497</v>
      </c>
    </row>
    <row r="824" spans="1:10">
      <c r="A824" s="178">
        <v>130</v>
      </c>
      <c r="B824" s="178" t="s">
        <v>282</v>
      </c>
      <c r="C824" s="178">
        <v>2655925.74</v>
      </c>
      <c r="D824" s="178">
        <v>0</v>
      </c>
      <c r="E824" s="178">
        <v>2655925.74</v>
      </c>
      <c r="F824" s="178">
        <v>0</v>
      </c>
      <c r="G824" s="178">
        <v>0</v>
      </c>
      <c r="H824" s="178">
        <v>2655925.74</v>
      </c>
      <c r="I824" s="178">
        <v>2655925.74</v>
      </c>
      <c r="J824" s="178" t="s">
        <v>497</v>
      </c>
    </row>
    <row r="825" spans="1:10">
      <c r="A825" s="178">
        <v>140</v>
      </c>
      <c r="B825" s="178" t="s">
        <v>364</v>
      </c>
      <c r="C825" s="178">
        <v>1368234.09</v>
      </c>
      <c r="D825" s="178">
        <v>0</v>
      </c>
      <c r="E825" s="178">
        <v>1368234.09</v>
      </c>
      <c r="F825" s="178">
        <v>0</v>
      </c>
      <c r="G825" s="178">
        <v>0</v>
      </c>
      <c r="H825" s="178">
        <v>1368234.09</v>
      </c>
      <c r="I825" s="178">
        <v>1368234.09</v>
      </c>
      <c r="J825" s="178" t="s">
        <v>497</v>
      </c>
    </row>
    <row r="826" spans="1:10">
      <c r="A826" s="178">
        <v>150</v>
      </c>
      <c r="B826" s="178" t="s">
        <v>285</v>
      </c>
      <c r="C826" s="178">
        <v>988663.97</v>
      </c>
      <c r="D826" s="178">
        <v>0</v>
      </c>
      <c r="E826" s="178">
        <v>988663.97</v>
      </c>
      <c r="F826" s="178">
        <v>0</v>
      </c>
      <c r="G826" s="178">
        <v>0</v>
      </c>
      <c r="H826" s="178">
        <v>988663.97</v>
      </c>
      <c r="I826" s="178">
        <v>988663.97</v>
      </c>
      <c r="J826" s="178" t="s">
        <v>497</v>
      </c>
    </row>
    <row r="827" spans="1:10">
      <c r="A827" s="178">
        <v>160</v>
      </c>
      <c r="B827" s="178" t="s">
        <v>284</v>
      </c>
      <c r="C827" s="178">
        <v>45486347.84</v>
      </c>
      <c r="D827" s="178">
        <v>0</v>
      </c>
      <c r="E827" s="178">
        <v>45486347.84</v>
      </c>
      <c r="F827" s="178">
        <v>0</v>
      </c>
      <c r="G827" s="178">
        <v>0</v>
      </c>
      <c r="H827" s="178">
        <v>45486347.84</v>
      </c>
      <c r="I827" s="178">
        <v>45486347.84</v>
      </c>
      <c r="J827" s="178" t="s">
        <v>497</v>
      </c>
    </row>
    <row r="828" spans="1:10">
      <c r="A828" s="178">
        <v>170</v>
      </c>
      <c r="B828" s="178" t="s">
        <v>283</v>
      </c>
      <c r="C828" s="178">
        <v>29500781.32</v>
      </c>
      <c r="D828" s="178">
        <v>0</v>
      </c>
      <c r="E828" s="178">
        <v>29500781.32</v>
      </c>
      <c r="F828" s="178">
        <v>25240.56</v>
      </c>
      <c r="G828" s="178">
        <v>25240.56</v>
      </c>
      <c r="H828" s="178">
        <v>29475540.76</v>
      </c>
      <c r="I828" s="178">
        <v>29475540.76</v>
      </c>
      <c r="J828" s="178" t="s">
        <v>497</v>
      </c>
    </row>
    <row r="829" spans="1:10">
      <c r="A829" s="178">
        <v>180</v>
      </c>
      <c r="B829" s="178" t="s">
        <v>366</v>
      </c>
      <c r="C829" s="178">
        <v>0</v>
      </c>
      <c r="D829" s="178">
        <v>0</v>
      </c>
      <c r="E829" s="178">
        <v>0</v>
      </c>
      <c r="F829" s="178">
        <v>0</v>
      </c>
      <c r="G829" s="178">
        <v>0</v>
      </c>
      <c r="H829" s="178">
        <v>0</v>
      </c>
      <c r="I829" s="178">
        <v>0</v>
      </c>
      <c r="J829" s="178" t="s">
        <v>497</v>
      </c>
    </row>
    <row r="830" spans="1:10">
      <c r="A830" s="178">
        <v>190</v>
      </c>
      <c r="B830" s="178" t="s">
        <v>367</v>
      </c>
      <c r="C830" s="178">
        <v>-56756839.08</v>
      </c>
      <c r="D830" s="178">
        <v>0</v>
      </c>
      <c r="E830" s="178">
        <v>-56756839.08</v>
      </c>
      <c r="F830" s="178">
        <v>-355089</v>
      </c>
      <c r="G830" s="178">
        <v>-355089</v>
      </c>
      <c r="H830" s="178">
        <v>-56401750.08</v>
      </c>
      <c r="I830" s="178">
        <v>-56401750.08</v>
      </c>
      <c r="J830" s="178" t="s">
        <v>497</v>
      </c>
    </row>
    <row r="831" spans="1:10">
      <c r="A831" s="178">
        <v>200</v>
      </c>
      <c r="B831" s="178" t="s">
        <v>368</v>
      </c>
      <c r="C831" s="178">
        <v>29628460.63</v>
      </c>
      <c r="D831" s="178">
        <v>0</v>
      </c>
      <c r="E831" s="178">
        <v>29628460.63</v>
      </c>
      <c r="F831" s="178">
        <v>-329848.44</v>
      </c>
      <c r="G831" s="178">
        <v>-329848.44</v>
      </c>
      <c r="H831" s="178">
        <v>29958309.07</v>
      </c>
      <c r="I831" s="178">
        <v>29958309.07</v>
      </c>
      <c r="J831" s="178" t="s">
        <v>497</v>
      </c>
    </row>
    <row r="832" spans="1:10">
      <c r="A832" s="178">
        <v>210</v>
      </c>
      <c r="B832" s="178" t="s">
        <v>549</v>
      </c>
      <c r="C832" s="178">
        <v>0</v>
      </c>
      <c r="D832" s="178">
        <v>0</v>
      </c>
      <c r="E832" s="178">
        <v>0</v>
      </c>
      <c r="F832" s="178">
        <v>0</v>
      </c>
      <c r="G832" s="178">
        <v>0</v>
      </c>
      <c r="H832" s="178">
        <v>0</v>
      </c>
      <c r="I832" s="178">
        <v>0</v>
      </c>
      <c r="J832" s="178" t="s">
        <v>497</v>
      </c>
    </row>
    <row r="833" spans="1:10">
      <c r="A833" s="178">
        <v>220</v>
      </c>
      <c r="B833" s="178" t="s">
        <v>370</v>
      </c>
      <c r="C833" s="178">
        <v>167250.17</v>
      </c>
      <c r="D833" s="178">
        <v>0</v>
      </c>
      <c r="E833" s="178">
        <v>167250.17</v>
      </c>
      <c r="F833" s="178">
        <v>0</v>
      </c>
      <c r="G833" s="178">
        <v>0</v>
      </c>
      <c r="H833" s="178">
        <v>167250.17</v>
      </c>
      <c r="I833" s="178">
        <v>167250.17</v>
      </c>
      <c r="J833" s="178" t="s">
        <v>497</v>
      </c>
    </row>
    <row r="834" spans="1:10">
      <c r="A834" s="178">
        <v>230</v>
      </c>
      <c r="B834" s="178" t="s">
        <v>371</v>
      </c>
      <c r="C834" s="178">
        <v>1241705.92</v>
      </c>
      <c r="D834" s="178">
        <v>0</v>
      </c>
      <c r="E834" s="178">
        <v>1241705.92</v>
      </c>
      <c r="F834" s="178">
        <v>0</v>
      </c>
      <c r="G834" s="178">
        <v>0</v>
      </c>
      <c r="H834" s="178">
        <v>1241705.92</v>
      </c>
      <c r="I834" s="178">
        <v>1241705.92</v>
      </c>
      <c r="J834" s="178" t="s">
        <v>497</v>
      </c>
    </row>
    <row r="835" spans="1:10">
      <c r="A835" s="178">
        <v>240</v>
      </c>
      <c r="B835" s="178" t="s">
        <v>372</v>
      </c>
      <c r="C835" s="178">
        <v>0</v>
      </c>
      <c r="D835" s="178">
        <v>0</v>
      </c>
      <c r="E835" s="178">
        <v>0</v>
      </c>
      <c r="F835" s="178">
        <v>0</v>
      </c>
      <c r="G835" s="178">
        <v>0</v>
      </c>
      <c r="H835" s="178">
        <v>0</v>
      </c>
      <c r="I835" s="178">
        <v>0</v>
      </c>
      <c r="J835" s="178" t="s">
        <v>497</v>
      </c>
    </row>
    <row r="836" spans="1:10">
      <c r="A836" s="178">
        <v>250</v>
      </c>
      <c r="B836" s="178" t="s">
        <v>373</v>
      </c>
      <c r="C836" s="178">
        <v>1408956.09</v>
      </c>
      <c r="D836" s="178">
        <v>0</v>
      </c>
      <c r="E836" s="178">
        <v>1408956.09</v>
      </c>
      <c r="F836" s="178">
        <v>0</v>
      </c>
      <c r="G836" s="178">
        <v>0</v>
      </c>
      <c r="H836" s="178">
        <v>1408956.09</v>
      </c>
      <c r="I836" s="178">
        <v>1408956.09</v>
      </c>
      <c r="J836" s="178" t="s">
        <v>497</v>
      </c>
    </row>
    <row r="837" spans="1:10">
      <c r="A837" s="178">
        <v>260</v>
      </c>
      <c r="B837" s="178" t="s">
        <v>374</v>
      </c>
      <c r="C837" s="178">
        <v>0</v>
      </c>
      <c r="D837" s="178">
        <v>0</v>
      </c>
      <c r="E837" s="178">
        <v>0</v>
      </c>
      <c r="F837" s="178">
        <v>0</v>
      </c>
      <c r="G837" s="178">
        <v>0</v>
      </c>
      <c r="H837" s="178">
        <v>0</v>
      </c>
      <c r="I837" s="178">
        <v>0</v>
      </c>
      <c r="J837" s="178" t="s">
        <v>497</v>
      </c>
    </row>
    <row r="838" spans="1:10">
      <c r="A838" s="178">
        <v>270</v>
      </c>
      <c r="B838" s="178" t="s">
        <v>375</v>
      </c>
      <c r="C838" s="178">
        <v>0</v>
      </c>
      <c r="D838" s="178">
        <v>0</v>
      </c>
      <c r="E838" s="178">
        <v>0</v>
      </c>
      <c r="F838" s="178">
        <v>0</v>
      </c>
      <c r="G838" s="178">
        <v>0</v>
      </c>
      <c r="H838" s="178">
        <v>0</v>
      </c>
      <c r="I838" s="178">
        <v>0</v>
      </c>
      <c r="J838" s="178" t="s">
        <v>497</v>
      </c>
    </row>
    <row r="839" spans="1:10">
      <c r="A839" s="178">
        <v>280</v>
      </c>
      <c r="B839" s="178" t="s">
        <v>550</v>
      </c>
      <c r="C839" s="178">
        <v>0</v>
      </c>
      <c r="D839" s="178">
        <v>0</v>
      </c>
      <c r="E839" s="178">
        <v>0</v>
      </c>
      <c r="F839" s="178">
        <v>0</v>
      </c>
      <c r="G839" s="178">
        <v>0</v>
      </c>
      <c r="H839" s="178">
        <v>0</v>
      </c>
      <c r="I839" s="178">
        <v>0</v>
      </c>
      <c r="J839" s="178" t="s">
        <v>497</v>
      </c>
    </row>
    <row r="840" spans="1:10">
      <c r="A840" s="178">
        <v>400</v>
      </c>
      <c r="B840" s="178" t="s">
        <v>377</v>
      </c>
      <c r="C840" s="178">
        <v>85547768.68</v>
      </c>
      <c r="D840" s="178">
        <v>0</v>
      </c>
      <c r="E840" s="178">
        <v>85547768.68</v>
      </c>
      <c r="F840" s="178">
        <v>2411752.79</v>
      </c>
      <c r="G840" s="178">
        <v>2411752.79</v>
      </c>
      <c r="H840" s="178">
        <v>83136015.89</v>
      </c>
      <c r="I840" s="178">
        <v>83136015.89</v>
      </c>
      <c r="J840" s="178" t="s">
        <v>497</v>
      </c>
    </row>
    <row r="841" spans="1:10">
      <c r="A841" s="178">
        <v>410</v>
      </c>
      <c r="B841" s="178" t="s">
        <v>551</v>
      </c>
      <c r="C841" s="178">
        <v>0</v>
      </c>
      <c r="D841" s="178">
        <v>0</v>
      </c>
      <c r="E841" s="178">
        <v>0</v>
      </c>
      <c r="F841" s="178">
        <v>0</v>
      </c>
      <c r="G841" s="178">
        <v>0</v>
      </c>
      <c r="H841" s="178">
        <v>0</v>
      </c>
      <c r="I841" s="178">
        <v>0</v>
      </c>
      <c r="J841" s="178" t="s">
        <v>497</v>
      </c>
    </row>
    <row r="842" spans="1:10">
      <c r="A842" s="178">
        <v>420</v>
      </c>
      <c r="B842" s="178" t="s">
        <v>270</v>
      </c>
      <c r="C842" s="178">
        <v>1039564.21</v>
      </c>
      <c r="D842" s="178">
        <v>0</v>
      </c>
      <c r="E842" s="178">
        <v>1039564.21</v>
      </c>
      <c r="F842" s="178">
        <v>449431.13</v>
      </c>
      <c r="G842" s="178">
        <v>449431.13</v>
      </c>
      <c r="H842" s="178">
        <v>590133.08</v>
      </c>
      <c r="I842" s="178">
        <v>590133.08</v>
      </c>
      <c r="J842" s="178" t="s">
        <v>497</v>
      </c>
    </row>
    <row r="843" spans="1:10">
      <c r="A843" s="178">
        <v>430</v>
      </c>
      <c r="B843" s="178" t="s">
        <v>379</v>
      </c>
      <c r="C843" s="178">
        <v>0</v>
      </c>
      <c r="D843" s="178">
        <v>0</v>
      </c>
      <c r="E843" s="178">
        <v>0</v>
      </c>
      <c r="F843" s="178">
        <v>0</v>
      </c>
      <c r="G843" s="178">
        <v>0</v>
      </c>
      <c r="H843" s="178">
        <v>0</v>
      </c>
      <c r="I843" s="178">
        <v>0</v>
      </c>
      <c r="J843" s="178" t="s">
        <v>497</v>
      </c>
    </row>
    <row r="844" spans="1:10">
      <c r="A844" s="178">
        <v>440</v>
      </c>
      <c r="B844" s="178" t="s">
        <v>380</v>
      </c>
      <c r="C844" s="178">
        <v>3503307.94</v>
      </c>
      <c r="D844" s="178">
        <v>0</v>
      </c>
      <c r="E844" s="178">
        <v>3503307.94</v>
      </c>
      <c r="F844" s="178">
        <v>0</v>
      </c>
      <c r="G844" s="178">
        <v>0</v>
      </c>
      <c r="H844" s="178">
        <v>3503307.94</v>
      </c>
      <c r="I844" s="178">
        <v>3503307.94</v>
      </c>
      <c r="J844" s="178" t="s">
        <v>497</v>
      </c>
    </row>
    <row r="845" spans="1:10">
      <c r="A845" s="178">
        <v>450</v>
      </c>
      <c r="B845" s="178" t="s">
        <v>381</v>
      </c>
      <c r="C845" s="178">
        <v>2149076.08</v>
      </c>
      <c r="D845" s="178">
        <v>0</v>
      </c>
      <c r="E845" s="178">
        <v>2149076.08</v>
      </c>
      <c r="F845" s="178">
        <v>-493232.67</v>
      </c>
      <c r="G845" s="178">
        <v>-493232.67</v>
      </c>
      <c r="H845" s="178">
        <v>2642308.75</v>
      </c>
      <c r="I845" s="178">
        <v>2642308.75</v>
      </c>
      <c r="J845" s="178" t="s">
        <v>497</v>
      </c>
    </row>
    <row r="846" spans="1:10">
      <c r="A846" s="178">
        <v>460</v>
      </c>
      <c r="B846" s="178" t="s">
        <v>561</v>
      </c>
      <c r="C846" s="178">
        <v>0</v>
      </c>
      <c r="D846" s="178">
        <v>0</v>
      </c>
      <c r="E846" s="178">
        <v>0</v>
      </c>
      <c r="F846" s="178">
        <v>0</v>
      </c>
      <c r="G846" s="178">
        <v>0</v>
      </c>
      <c r="H846" s="178">
        <v>0</v>
      </c>
      <c r="I846" s="178">
        <v>0</v>
      </c>
      <c r="J846" s="178" t="s">
        <v>497</v>
      </c>
    </row>
    <row r="847" spans="1:10">
      <c r="A847" s="178">
        <v>500</v>
      </c>
      <c r="B847" s="178" t="s">
        <v>383</v>
      </c>
      <c r="C847" s="178">
        <v>6691948.23</v>
      </c>
      <c r="D847" s="178">
        <v>0</v>
      </c>
      <c r="E847" s="178">
        <v>6691948.23</v>
      </c>
      <c r="F847" s="178">
        <v>-43801.54</v>
      </c>
      <c r="G847" s="178">
        <v>-43801.54</v>
      </c>
      <c r="H847" s="178">
        <v>6735749.77</v>
      </c>
      <c r="I847" s="178">
        <v>6735749.77</v>
      </c>
      <c r="J847" s="178" t="s">
        <v>497</v>
      </c>
    </row>
    <row r="848" spans="1:10">
      <c r="A848" s="178">
        <v>510</v>
      </c>
      <c r="B848" s="178" t="s">
        <v>554</v>
      </c>
      <c r="C848" s="178">
        <v>0</v>
      </c>
      <c r="D848" s="178">
        <v>0</v>
      </c>
      <c r="E848" s="178">
        <v>0</v>
      </c>
      <c r="F848" s="178">
        <v>0</v>
      </c>
      <c r="G848" s="178">
        <v>0</v>
      </c>
      <c r="H848" s="178">
        <v>0</v>
      </c>
      <c r="I848" s="178">
        <v>0</v>
      </c>
      <c r="J848" s="178" t="s">
        <v>497</v>
      </c>
    </row>
    <row r="849" spans="1:10">
      <c r="A849" s="178">
        <v>520</v>
      </c>
      <c r="B849" s="178" t="s">
        <v>385</v>
      </c>
      <c r="C849" s="178">
        <v>0</v>
      </c>
      <c r="D849" s="178">
        <v>0</v>
      </c>
      <c r="E849" s="178">
        <v>0</v>
      </c>
      <c r="F849" s="178">
        <v>0</v>
      </c>
      <c r="G849" s="178">
        <v>0</v>
      </c>
      <c r="H849" s="178">
        <v>0</v>
      </c>
      <c r="I849" s="178">
        <v>0</v>
      </c>
      <c r="J849" s="178" t="s">
        <v>497</v>
      </c>
    </row>
    <row r="850" spans="1:10">
      <c r="A850" s="178">
        <v>530</v>
      </c>
      <c r="B850" s="178" t="s">
        <v>386</v>
      </c>
      <c r="C850" s="178">
        <v>0</v>
      </c>
      <c r="D850" s="178">
        <v>0</v>
      </c>
      <c r="E850" s="178">
        <v>0</v>
      </c>
      <c r="F850" s="178">
        <v>0</v>
      </c>
      <c r="G850" s="178">
        <v>0</v>
      </c>
      <c r="H850" s="178">
        <v>0</v>
      </c>
      <c r="I850" s="178">
        <v>0</v>
      </c>
      <c r="J850" s="178" t="s">
        <v>497</v>
      </c>
    </row>
    <row r="851" spans="1:10">
      <c r="A851" s="178">
        <v>540</v>
      </c>
      <c r="B851" s="178" t="s">
        <v>387</v>
      </c>
      <c r="C851" s="178">
        <v>69000</v>
      </c>
      <c r="D851" s="178">
        <v>0</v>
      </c>
      <c r="E851" s="178">
        <v>69000</v>
      </c>
      <c r="F851" s="178">
        <v>69000</v>
      </c>
      <c r="G851" s="178">
        <v>69000</v>
      </c>
      <c r="H851" s="178">
        <v>0</v>
      </c>
      <c r="I851" s="178">
        <v>0</v>
      </c>
      <c r="J851" s="178" t="s">
        <v>497</v>
      </c>
    </row>
    <row r="852" spans="1:10">
      <c r="A852" s="178">
        <v>600</v>
      </c>
      <c r="B852" s="178" t="s">
        <v>388</v>
      </c>
      <c r="C852" s="178">
        <v>69000</v>
      </c>
      <c r="D852" s="178">
        <v>0</v>
      </c>
      <c r="E852" s="178">
        <v>69000</v>
      </c>
      <c r="F852" s="178">
        <v>69000</v>
      </c>
      <c r="G852" s="178">
        <v>69000</v>
      </c>
      <c r="H852" s="178">
        <v>0</v>
      </c>
      <c r="I852" s="178">
        <v>0</v>
      </c>
      <c r="J852" s="178" t="s">
        <v>497</v>
      </c>
    </row>
    <row r="853" spans="1:10">
      <c r="A853" s="178">
        <v>610</v>
      </c>
      <c r="B853" s="178" t="s">
        <v>556</v>
      </c>
      <c r="C853" s="178">
        <v>0</v>
      </c>
      <c r="D853" s="178">
        <v>0</v>
      </c>
      <c r="E853" s="178">
        <v>0</v>
      </c>
      <c r="F853" s="178">
        <v>0</v>
      </c>
      <c r="G853" s="178">
        <v>0</v>
      </c>
      <c r="H853" s="178">
        <v>0</v>
      </c>
      <c r="I853" s="178">
        <v>0</v>
      </c>
      <c r="J853" s="178" t="s">
        <v>497</v>
      </c>
    </row>
    <row r="854" spans="1:10">
      <c r="A854" s="178">
        <v>620</v>
      </c>
      <c r="B854" s="178" t="s">
        <v>390</v>
      </c>
      <c r="C854" s="178">
        <v>0</v>
      </c>
      <c r="D854" s="178">
        <v>0</v>
      </c>
      <c r="E854" s="178">
        <v>0</v>
      </c>
      <c r="F854" s="178">
        <v>0</v>
      </c>
      <c r="G854" s="178">
        <v>0</v>
      </c>
      <c r="H854" s="178">
        <v>0</v>
      </c>
      <c r="I854" s="178">
        <v>0</v>
      </c>
      <c r="J854" s="178" t="s">
        <v>497</v>
      </c>
    </row>
    <row r="855" spans="1:10">
      <c r="A855" s="178">
        <v>700</v>
      </c>
      <c r="B855" s="178" t="s">
        <v>557</v>
      </c>
      <c r="C855" s="178">
        <v>0</v>
      </c>
      <c r="D855" s="178">
        <v>0</v>
      </c>
      <c r="E855" s="178">
        <v>0</v>
      </c>
      <c r="F855" s="178">
        <v>0</v>
      </c>
      <c r="G855" s="178">
        <v>0</v>
      </c>
      <c r="H855" s="178">
        <v>0</v>
      </c>
      <c r="I855" s="178">
        <v>0</v>
      </c>
      <c r="J855" s="178" t="s">
        <v>497</v>
      </c>
    </row>
    <row r="856" spans="1:10">
      <c r="A856" s="178">
        <v>710</v>
      </c>
      <c r="B856" s="178" t="s">
        <v>558</v>
      </c>
      <c r="C856" s="178">
        <v>0</v>
      </c>
      <c r="D856" s="178">
        <v>0</v>
      </c>
      <c r="E856" s="178">
        <v>0</v>
      </c>
      <c r="F856" s="178">
        <v>0</v>
      </c>
      <c r="G856" s="178">
        <v>0</v>
      </c>
      <c r="H856" s="178">
        <v>0</v>
      </c>
      <c r="I856" s="178">
        <v>0</v>
      </c>
      <c r="J856" s="178" t="s">
        <v>497</v>
      </c>
    </row>
    <row r="857" spans="1:10">
      <c r="A857" s="178">
        <v>720</v>
      </c>
      <c r="B857" s="178" t="s">
        <v>276</v>
      </c>
      <c r="C857" s="178">
        <v>30875613.03</v>
      </c>
      <c r="D857" s="178">
        <v>0</v>
      </c>
      <c r="E857" s="178">
        <v>30875613.03</v>
      </c>
      <c r="F857" s="178">
        <v>0</v>
      </c>
      <c r="G857" s="178">
        <v>0</v>
      </c>
      <c r="H857" s="178">
        <v>30875613.03</v>
      </c>
      <c r="I857" s="178">
        <v>30875613.03</v>
      </c>
      <c r="J857" s="178" t="s">
        <v>497</v>
      </c>
    </row>
    <row r="858" spans="1:10">
      <c r="A858" s="178">
        <v>730</v>
      </c>
      <c r="B858" s="178" t="s">
        <v>393</v>
      </c>
      <c r="C858" s="178">
        <v>48539.12</v>
      </c>
      <c r="D858" s="178">
        <v>0</v>
      </c>
      <c r="E858" s="178">
        <v>48539.12</v>
      </c>
      <c r="F858" s="178">
        <v>0</v>
      </c>
      <c r="G858" s="178">
        <v>0</v>
      </c>
      <c r="H858" s="178">
        <v>48539.12</v>
      </c>
      <c r="I858" s="178">
        <v>48539.12</v>
      </c>
      <c r="J858" s="178" t="s">
        <v>497</v>
      </c>
    </row>
    <row r="859" spans="1:10">
      <c r="A859" s="178">
        <v>740</v>
      </c>
      <c r="B859" s="178" t="s">
        <v>394</v>
      </c>
      <c r="C859" s="178">
        <v>30754030.22</v>
      </c>
      <c r="D859" s="178">
        <v>0</v>
      </c>
      <c r="E859" s="178">
        <v>30754030.22</v>
      </c>
      <c r="F859" s="178">
        <v>0</v>
      </c>
      <c r="G859" s="178">
        <v>0</v>
      </c>
      <c r="H859" s="178">
        <v>-3583697.38</v>
      </c>
      <c r="I859" s="178">
        <v>30754030.22</v>
      </c>
      <c r="J859" s="178" t="s">
        <v>497</v>
      </c>
    </row>
    <row r="860" spans="1:10">
      <c r="A860" s="178">
        <v>750</v>
      </c>
      <c r="B860" s="178" t="s">
        <v>395</v>
      </c>
      <c r="C860" s="178">
        <v>2386554.33</v>
      </c>
      <c r="D860" s="178">
        <v>3010107</v>
      </c>
      <c r="E860" s="178">
        <v>-623552.67</v>
      </c>
      <c r="F860" s="178">
        <v>2386554.33</v>
      </c>
      <c r="G860" s="178">
        <v>2386554.33</v>
      </c>
      <c r="H860" s="178">
        <v>34337727.6</v>
      </c>
      <c r="I860" s="178">
        <v>0</v>
      </c>
      <c r="J860" s="178" t="s">
        <v>497</v>
      </c>
    </row>
    <row r="861" spans="1:10">
      <c r="A861" s="178">
        <v>760</v>
      </c>
      <c r="B861" s="178" t="s">
        <v>396</v>
      </c>
      <c r="C861" s="178">
        <v>14722083.75</v>
      </c>
      <c r="D861" s="178">
        <v>0</v>
      </c>
      <c r="E861" s="178">
        <v>14722083.75</v>
      </c>
      <c r="F861" s="178">
        <v>0</v>
      </c>
      <c r="G861" s="178">
        <v>0</v>
      </c>
      <c r="H861" s="178">
        <v>14722083.75</v>
      </c>
      <c r="I861" s="178">
        <v>14722083.75</v>
      </c>
      <c r="J861" s="178" t="s">
        <v>497</v>
      </c>
    </row>
    <row r="862" spans="1:10">
      <c r="A862" s="178">
        <v>770</v>
      </c>
      <c r="B862" s="178" t="s">
        <v>397</v>
      </c>
      <c r="C862" s="178">
        <v>0</v>
      </c>
      <c r="D862" s="178">
        <v>0</v>
      </c>
      <c r="E862" s="178">
        <v>0</v>
      </c>
      <c r="F862" s="178">
        <v>0</v>
      </c>
      <c r="G862" s="178">
        <v>0</v>
      </c>
      <c r="H862" s="178">
        <v>0</v>
      </c>
      <c r="I862" s="178">
        <v>0</v>
      </c>
      <c r="J862" s="178" t="s">
        <v>497</v>
      </c>
    </row>
    <row r="863" spans="1:10">
      <c r="A863" s="178">
        <v>800</v>
      </c>
      <c r="B863" s="178" t="s">
        <v>398</v>
      </c>
      <c r="C863" s="178">
        <v>78786820.45</v>
      </c>
      <c r="D863" s="178">
        <v>3010107</v>
      </c>
      <c r="E863" s="178">
        <v>75776713.45</v>
      </c>
      <c r="F863" s="178">
        <v>2386554.33</v>
      </c>
      <c r="G863" s="178">
        <v>2386554.33</v>
      </c>
      <c r="H863" s="178">
        <v>76400266.12</v>
      </c>
      <c r="I863" s="178">
        <v>76400266.12</v>
      </c>
      <c r="J863" s="178" t="s">
        <v>497</v>
      </c>
    </row>
    <row r="864" spans="1:10">
      <c r="A864" s="178">
        <v>900</v>
      </c>
      <c r="B864" s="178" t="s">
        <v>399</v>
      </c>
      <c r="C864" s="178">
        <v>85547768.68</v>
      </c>
      <c r="D864" s="178">
        <v>3010107</v>
      </c>
      <c r="E864" s="178">
        <v>82537661.68</v>
      </c>
      <c r="F864" s="178">
        <v>2411752.79</v>
      </c>
      <c r="G864" s="178">
        <v>2411752.79</v>
      </c>
      <c r="H864" s="178">
        <v>83136015.89</v>
      </c>
      <c r="I864" s="178">
        <v>83136015.89</v>
      </c>
      <c r="J864" s="178" t="s">
        <v>497</v>
      </c>
    </row>
    <row r="865" spans="1:10">
      <c r="A865" s="178">
        <v>1000</v>
      </c>
      <c r="B865" s="178" t="s">
        <v>559</v>
      </c>
      <c r="C865" s="178">
        <v>0</v>
      </c>
      <c r="D865" s="178">
        <v>-3010107</v>
      </c>
      <c r="E865" s="178">
        <v>3010107</v>
      </c>
      <c r="F865" s="178">
        <v>0</v>
      </c>
      <c r="G865" s="178">
        <v>0</v>
      </c>
      <c r="H865" s="178">
        <v>0</v>
      </c>
      <c r="I865" s="178">
        <v>0</v>
      </c>
      <c r="J865" s="178" t="s">
        <v>497</v>
      </c>
    </row>
    <row r="866" spans="1:10">
      <c r="A866" s="178" t="s">
        <v>450</v>
      </c>
      <c r="B866" s="178" t="s">
        <v>402</v>
      </c>
      <c r="C866" s="178" t="s">
        <v>538</v>
      </c>
      <c r="D866" s="178" t="s">
        <v>539</v>
      </c>
      <c r="E866" s="178" t="s">
        <v>540</v>
      </c>
      <c r="F866" s="178" t="s">
        <v>541</v>
      </c>
      <c r="G866" s="178" t="s">
        <v>542</v>
      </c>
      <c r="H866" s="178" t="s">
        <v>543</v>
      </c>
      <c r="I866" s="178" t="s">
        <v>544</v>
      </c>
      <c r="J866" s="178" t="s">
        <v>405</v>
      </c>
    </row>
    <row r="867" spans="1:10">
      <c r="A867" s="178">
        <v>10</v>
      </c>
      <c r="B867" s="178" t="s">
        <v>545</v>
      </c>
      <c r="C867" s="178">
        <v>0</v>
      </c>
      <c r="D867" s="178">
        <v>0</v>
      </c>
      <c r="E867" s="178">
        <v>0</v>
      </c>
      <c r="F867" s="178">
        <v>0</v>
      </c>
      <c r="G867" s="178">
        <v>0</v>
      </c>
      <c r="H867" s="178">
        <v>0</v>
      </c>
      <c r="I867" s="178">
        <v>0</v>
      </c>
      <c r="J867" s="178" t="s">
        <v>497</v>
      </c>
    </row>
    <row r="868" spans="1:10">
      <c r="A868" s="178">
        <v>20</v>
      </c>
      <c r="B868" s="178" t="s">
        <v>359</v>
      </c>
      <c r="C868" s="178">
        <v>1336642.03</v>
      </c>
      <c r="D868" s="178">
        <v>0</v>
      </c>
      <c r="E868" s="178">
        <v>1336642.03</v>
      </c>
      <c r="F868" s="178">
        <v>30254.8</v>
      </c>
      <c r="G868" s="178">
        <v>30254.8</v>
      </c>
      <c r="H868" s="178">
        <v>1306387.23</v>
      </c>
      <c r="I868" s="178">
        <v>1306387.23</v>
      </c>
      <c r="J868" s="178" t="s">
        <v>497</v>
      </c>
    </row>
    <row r="869" spans="1:10">
      <c r="A869" s="178">
        <v>30</v>
      </c>
      <c r="B869" s="178" t="s">
        <v>360</v>
      </c>
      <c r="C869" s="178">
        <v>12861.63</v>
      </c>
      <c r="D869" s="178">
        <v>0</v>
      </c>
      <c r="E869" s="178">
        <v>12861.63</v>
      </c>
      <c r="F869" s="178">
        <v>0</v>
      </c>
      <c r="G869" s="178">
        <v>0</v>
      </c>
      <c r="H869" s="178">
        <v>12861.63</v>
      </c>
      <c r="I869" s="178">
        <v>12861.63</v>
      </c>
      <c r="J869" s="178" t="s">
        <v>497</v>
      </c>
    </row>
    <row r="870" spans="1:10">
      <c r="A870" s="178">
        <v>40</v>
      </c>
      <c r="B870" s="178" t="s">
        <v>266</v>
      </c>
      <c r="C870" s="178">
        <v>7632976.17</v>
      </c>
      <c r="D870" s="178">
        <v>0</v>
      </c>
      <c r="E870" s="178">
        <v>7632976.17</v>
      </c>
      <c r="F870" s="178">
        <v>-444718.98</v>
      </c>
      <c r="G870" s="178">
        <v>-444718.98</v>
      </c>
      <c r="H870" s="178">
        <v>8077695.15</v>
      </c>
      <c r="I870" s="178">
        <v>8077695.15</v>
      </c>
      <c r="J870" s="178" t="s">
        <v>497</v>
      </c>
    </row>
    <row r="871" spans="1:10">
      <c r="A871" s="178">
        <v>50</v>
      </c>
      <c r="B871" s="178" t="s">
        <v>267</v>
      </c>
      <c r="C871" s="178">
        <v>6500438.64</v>
      </c>
      <c r="D871" s="178">
        <v>0</v>
      </c>
      <c r="E871" s="178">
        <v>6500438.64</v>
      </c>
      <c r="F871" s="178">
        <v>-121450.03</v>
      </c>
      <c r="G871" s="178">
        <v>-121450.03</v>
      </c>
      <c r="H871" s="178">
        <v>6621888.67</v>
      </c>
      <c r="I871" s="178">
        <v>6621888.67</v>
      </c>
      <c r="J871" s="178" t="s">
        <v>497</v>
      </c>
    </row>
    <row r="872" spans="1:10">
      <c r="A872" s="178">
        <v>60</v>
      </c>
      <c r="B872" s="178" t="s">
        <v>268</v>
      </c>
      <c r="C872" s="178">
        <v>6275513.6</v>
      </c>
      <c r="D872" s="178">
        <v>0</v>
      </c>
      <c r="E872" s="178">
        <v>6275513.6</v>
      </c>
      <c r="F872" s="178">
        <v>2748165.23</v>
      </c>
      <c r="G872" s="178">
        <v>2748165.23</v>
      </c>
      <c r="H872" s="178">
        <v>3527348.37</v>
      </c>
      <c r="I872" s="178">
        <v>3527348.37</v>
      </c>
      <c r="J872" s="178" t="s">
        <v>497</v>
      </c>
    </row>
    <row r="873" spans="1:10">
      <c r="A873" s="178">
        <v>70</v>
      </c>
      <c r="B873" s="178" t="s">
        <v>269</v>
      </c>
      <c r="C873" s="178">
        <v>379545.71</v>
      </c>
      <c r="D873" s="178">
        <v>0</v>
      </c>
      <c r="E873" s="178">
        <v>379545.71</v>
      </c>
      <c r="F873" s="178">
        <v>-177224.04</v>
      </c>
      <c r="G873" s="178">
        <v>-177224.04</v>
      </c>
      <c r="H873" s="178">
        <v>556769.75</v>
      </c>
      <c r="I873" s="178">
        <v>556769.75</v>
      </c>
      <c r="J873" s="178" t="s">
        <v>497</v>
      </c>
    </row>
    <row r="874" spans="1:10">
      <c r="A874" s="178">
        <v>80</v>
      </c>
      <c r="B874" s="178" t="s">
        <v>546</v>
      </c>
      <c r="C874" s="178">
        <v>272323.61</v>
      </c>
      <c r="D874" s="178">
        <v>0</v>
      </c>
      <c r="E874" s="178">
        <v>272323.61</v>
      </c>
      <c r="F874" s="178">
        <v>678739.16</v>
      </c>
      <c r="G874" s="178">
        <v>678739.16</v>
      </c>
      <c r="H874" s="178">
        <v>-406415.55</v>
      </c>
      <c r="I874" s="178">
        <v>-406415.55</v>
      </c>
      <c r="J874" s="178" t="s">
        <v>497</v>
      </c>
    </row>
    <row r="875" spans="1:10">
      <c r="A875" s="178">
        <v>100</v>
      </c>
      <c r="B875" s="178" t="s">
        <v>547</v>
      </c>
      <c r="C875" s="178">
        <v>22410301.39</v>
      </c>
      <c r="D875" s="178">
        <v>0</v>
      </c>
      <c r="E875" s="178">
        <v>22410301.39</v>
      </c>
      <c r="F875" s="178">
        <v>2713766.14</v>
      </c>
      <c r="G875" s="178">
        <v>2713766.14</v>
      </c>
      <c r="H875" s="178">
        <v>19696535.25</v>
      </c>
      <c r="I875" s="178">
        <v>19696535.25</v>
      </c>
      <c r="J875" s="178" t="s">
        <v>497</v>
      </c>
    </row>
    <row r="876" spans="1:10">
      <c r="A876" s="178">
        <v>110</v>
      </c>
      <c r="B876" s="178" t="s">
        <v>548</v>
      </c>
      <c r="C876" s="178">
        <v>0</v>
      </c>
      <c r="D876" s="178">
        <v>0</v>
      </c>
      <c r="E876" s="178">
        <v>0</v>
      </c>
      <c r="F876" s="178">
        <v>0</v>
      </c>
      <c r="G876" s="178">
        <v>0</v>
      </c>
      <c r="H876" s="178">
        <v>0</v>
      </c>
      <c r="I876" s="178">
        <v>0</v>
      </c>
      <c r="J876" s="178" t="s">
        <v>497</v>
      </c>
    </row>
    <row r="877" spans="1:10">
      <c r="A877" s="178">
        <v>120</v>
      </c>
      <c r="B877" s="178" t="s">
        <v>322</v>
      </c>
      <c r="C877" s="178">
        <v>0</v>
      </c>
      <c r="D877" s="178">
        <v>0</v>
      </c>
      <c r="E877" s="178">
        <v>0</v>
      </c>
      <c r="F877" s="178">
        <v>0</v>
      </c>
      <c r="G877" s="178">
        <v>0</v>
      </c>
      <c r="H877" s="178">
        <v>0</v>
      </c>
      <c r="I877" s="178">
        <v>0</v>
      </c>
      <c r="J877" s="178" t="s">
        <v>497</v>
      </c>
    </row>
    <row r="878" spans="1:10">
      <c r="A878" s="178">
        <v>130</v>
      </c>
      <c r="B878" s="178" t="s">
        <v>282</v>
      </c>
      <c r="C878" s="178">
        <v>3760258.49</v>
      </c>
      <c r="D878" s="178">
        <v>0</v>
      </c>
      <c r="E878" s="178">
        <v>3760258.49</v>
      </c>
      <c r="F878" s="178">
        <v>0</v>
      </c>
      <c r="G878" s="178">
        <v>0</v>
      </c>
      <c r="H878" s="178">
        <v>3760258.49</v>
      </c>
      <c r="I878" s="178">
        <v>3760258.49</v>
      </c>
      <c r="J878" s="178" t="s">
        <v>497</v>
      </c>
    </row>
    <row r="879" spans="1:10">
      <c r="A879" s="178">
        <v>140</v>
      </c>
      <c r="B879" s="178" t="s">
        <v>364</v>
      </c>
      <c r="C879" s="178">
        <v>1062222.88</v>
      </c>
      <c r="D879" s="178">
        <v>0</v>
      </c>
      <c r="E879" s="178">
        <v>1062222.88</v>
      </c>
      <c r="F879" s="178">
        <v>9984.75</v>
      </c>
      <c r="G879" s="178">
        <v>9984.75</v>
      </c>
      <c r="H879" s="178">
        <v>1052238.13</v>
      </c>
      <c r="I879" s="178">
        <v>1052238.13</v>
      </c>
      <c r="J879" s="178" t="s">
        <v>497</v>
      </c>
    </row>
    <row r="880" spans="1:10">
      <c r="A880" s="178">
        <v>150</v>
      </c>
      <c r="B880" s="178" t="s">
        <v>285</v>
      </c>
      <c r="C880" s="178">
        <v>6444064.44</v>
      </c>
      <c r="D880" s="178">
        <v>0</v>
      </c>
      <c r="E880" s="178">
        <v>6444064.44</v>
      </c>
      <c r="F880" s="178">
        <v>0</v>
      </c>
      <c r="G880" s="178">
        <v>0</v>
      </c>
      <c r="H880" s="178">
        <v>6444064.44</v>
      </c>
      <c r="I880" s="178">
        <v>6444064.44</v>
      </c>
      <c r="J880" s="178" t="s">
        <v>497</v>
      </c>
    </row>
    <row r="881" spans="1:10">
      <c r="A881" s="178">
        <v>160</v>
      </c>
      <c r="B881" s="178" t="s">
        <v>284</v>
      </c>
      <c r="C881" s="178">
        <v>30783641.3</v>
      </c>
      <c r="D881" s="178">
        <v>0</v>
      </c>
      <c r="E881" s="178">
        <v>30783641.3</v>
      </c>
      <c r="F881" s="178">
        <v>16433</v>
      </c>
      <c r="G881" s="178">
        <v>16433</v>
      </c>
      <c r="H881" s="178">
        <v>30767208.3</v>
      </c>
      <c r="I881" s="178">
        <v>30767208.3</v>
      </c>
      <c r="J881" s="178" t="s">
        <v>497</v>
      </c>
    </row>
    <row r="882" spans="1:10">
      <c r="A882" s="178">
        <v>170</v>
      </c>
      <c r="B882" s="178" t="s">
        <v>283</v>
      </c>
      <c r="C882" s="178">
        <v>10560744.95</v>
      </c>
      <c r="D882" s="178">
        <v>0</v>
      </c>
      <c r="E882" s="178">
        <v>10560744.95</v>
      </c>
      <c r="F882" s="178">
        <v>0</v>
      </c>
      <c r="G882" s="178">
        <v>0</v>
      </c>
      <c r="H882" s="178">
        <v>10560744.95</v>
      </c>
      <c r="I882" s="178">
        <v>10560744.95</v>
      </c>
      <c r="J882" s="178" t="s">
        <v>497</v>
      </c>
    </row>
    <row r="883" spans="1:10">
      <c r="A883" s="178">
        <v>180</v>
      </c>
      <c r="B883" s="178" t="s">
        <v>366</v>
      </c>
      <c r="C883" s="178">
        <v>8479394.89</v>
      </c>
      <c r="D883" s="178">
        <v>0</v>
      </c>
      <c r="E883" s="178">
        <v>8479394.89</v>
      </c>
      <c r="F883" s="178">
        <v>11581.03</v>
      </c>
      <c r="G883" s="178">
        <v>11581.03</v>
      </c>
      <c r="H883" s="178">
        <v>8467813.86</v>
      </c>
      <c r="I883" s="178">
        <v>8467813.86</v>
      </c>
      <c r="J883" s="178" t="s">
        <v>497</v>
      </c>
    </row>
    <row r="884" spans="1:10">
      <c r="A884" s="178">
        <v>190</v>
      </c>
      <c r="B884" s="178" t="s">
        <v>367</v>
      </c>
      <c r="C884" s="178">
        <v>-27351984.98</v>
      </c>
      <c r="D884" s="178">
        <v>0</v>
      </c>
      <c r="E884" s="178">
        <v>-27351984.98</v>
      </c>
      <c r="F884" s="178">
        <v>-249581.19</v>
      </c>
      <c r="G884" s="178">
        <v>-249581.19</v>
      </c>
      <c r="H884" s="178">
        <v>-27102403.79</v>
      </c>
      <c r="I884" s="178">
        <v>-27102403.79</v>
      </c>
      <c r="J884" s="178" t="s">
        <v>497</v>
      </c>
    </row>
    <row r="885" spans="1:10">
      <c r="A885" s="178">
        <v>200</v>
      </c>
      <c r="B885" s="178" t="s">
        <v>368</v>
      </c>
      <c r="C885" s="178">
        <v>33738341.97</v>
      </c>
      <c r="D885" s="178">
        <v>0</v>
      </c>
      <c r="E885" s="178">
        <v>33738341.97</v>
      </c>
      <c r="F885" s="178">
        <v>-211582.41</v>
      </c>
      <c r="G885" s="178">
        <v>-211582.41</v>
      </c>
      <c r="H885" s="178">
        <v>33949924.38</v>
      </c>
      <c r="I885" s="178">
        <v>33949924.38</v>
      </c>
      <c r="J885" s="178" t="s">
        <v>497</v>
      </c>
    </row>
    <row r="886" spans="1:10">
      <c r="A886" s="178">
        <v>210</v>
      </c>
      <c r="B886" s="178" t="s">
        <v>549</v>
      </c>
      <c r="C886" s="178">
        <v>0</v>
      </c>
      <c r="D886" s="178">
        <v>0</v>
      </c>
      <c r="E886" s="178">
        <v>0</v>
      </c>
      <c r="F886" s="178">
        <v>0</v>
      </c>
      <c r="G886" s="178">
        <v>0</v>
      </c>
      <c r="H886" s="178">
        <v>0</v>
      </c>
      <c r="I886" s="178">
        <v>0</v>
      </c>
      <c r="J886" s="178" t="s">
        <v>497</v>
      </c>
    </row>
    <row r="887" spans="1:10">
      <c r="A887" s="178">
        <v>220</v>
      </c>
      <c r="B887" s="178" t="s">
        <v>370</v>
      </c>
      <c r="C887" s="178">
        <v>49113.41</v>
      </c>
      <c r="D887" s="178">
        <v>0</v>
      </c>
      <c r="E887" s="178">
        <v>49113.41</v>
      </c>
      <c r="F887" s="178">
        <v>0</v>
      </c>
      <c r="G887" s="178">
        <v>0</v>
      </c>
      <c r="H887" s="178">
        <v>49113.41</v>
      </c>
      <c r="I887" s="178">
        <v>49113.41</v>
      </c>
      <c r="J887" s="178" t="s">
        <v>497</v>
      </c>
    </row>
    <row r="888" spans="1:10">
      <c r="A888" s="178">
        <v>230</v>
      </c>
      <c r="B888" s="178" t="s">
        <v>371</v>
      </c>
      <c r="C888" s="178">
        <v>2604066.01</v>
      </c>
      <c r="D888" s="178">
        <v>0</v>
      </c>
      <c r="E888" s="178">
        <v>2604066.01</v>
      </c>
      <c r="F888" s="178">
        <v>0</v>
      </c>
      <c r="G888" s="178">
        <v>0</v>
      </c>
      <c r="H888" s="178">
        <v>2604066.01</v>
      </c>
      <c r="I888" s="178">
        <v>2604066.01</v>
      </c>
      <c r="J888" s="178" t="s">
        <v>497</v>
      </c>
    </row>
    <row r="889" spans="1:10">
      <c r="A889" s="178">
        <v>240</v>
      </c>
      <c r="B889" s="178" t="s">
        <v>372</v>
      </c>
      <c r="C889" s="178">
        <v>0</v>
      </c>
      <c r="D889" s="178">
        <v>0</v>
      </c>
      <c r="E889" s="178">
        <v>0</v>
      </c>
      <c r="F889" s="178">
        <v>0</v>
      </c>
      <c r="G889" s="178">
        <v>0</v>
      </c>
      <c r="H889" s="178">
        <v>0</v>
      </c>
      <c r="I889" s="178">
        <v>0</v>
      </c>
      <c r="J889" s="178" t="s">
        <v>497</v>
      </c>
    </row>
    <row r="890" spans="1:10">
      <c r="A890" s="178">
        <v>250</v>
      </c>
      <c r="B890" s="178" t="s">
        <v>373</v>
      </c>
      <c r="C890" s="178">
        <v>2653179.42</v>
      </c>
      <c r="D890" s="178">
        <v>0</v>
      </c>
      <c r="E890" s="178">
        <v>2653179.42</v>
      </c>
      <c r="F890" s="178">
        <v>0</v>
      </c>
      <c r="G890" s="178">
        <v>0</v>
      </c>
      <c r="H890" s="178">
        <v>2653179.42</v>
      </c>
      <c r="I890" s="178">
        <v>2653179.42</v>
      </c>
      <c r="J890" s="178" t="s">
        <v>497</v>
      </c>
    </row>
    <row r="891" spans="1:10">
      <c r="A891" s="178">
        <v>260</v>
      </c>
      <c r="B891" s="178" t="s">
        <v>374</v>
      </c>
      <c r="C891" s="178">
        <v>0</v>
      </c>
      <c r="D891" s="178">
        <v>0</v>
      </c>
      <c r="E891" s="178">
        <v>0</v>
      </c>
      <c r="F891" s="178">
        <v>0</v>
      </c>
      <c r="G891" s="178">
        <v>0</v>
      </c>
      <c r="H891" s="178">
        <v>0</v>
      </c>
      <c r="I891" s="178">
        <v>0</v>
      </c>
      <c r="J891" s="178" t="s">
        <v>497</v>
      </c>
    </row>
    <row r="892" spans="1:10">
      <c r="A892" s="178">
        <v>270</v>
      </c>
      <c r="B892" s="178" t="s">
        <v>375</v>
      </c>
      <c r="C892" s="178">
        <v>0</v>
      </c>
      <c r="D892" s="178">
        <v>0</v>
      </c>
      <c r="E892" s="178">
        <v>0</v>
      </c>
      <c r="F892" s="178">
        <v>0</v>
      </c>
      <c r="G892" s="178">
        <v>0</v>
      </c>
      <c r="H892" s="178">
        <v>0</v>
      </c>
      <c r="I892" s="178">
        <v>0</v>
      </c>
      <c r="J892" s="178" t="s">
        <v>497</v>
      </c>
    </row>
    <row r="893" spans="1:10">
      <c r="A893" s="178">
        <v>280</v>
      </c>
      <c r="B893" s="178" t="s">
        <v>550</v>
      </c>
      <c r="C893" s="178">
        <v>0</v>
      </c>
      <c r="D893" s="178">
        <v>0</v>
      </c>
      <c r="E893" s="178">
        <v>0</v>
      </c>
      <c r="F893" s="178">
        <v>0</v>
      </c>
      <c r="G893" s="178">
        <v>0</v>
      </c>
      <c r="H893" s="178">
        <v>0</v>
      </c>
      <c r="I893" s="178">
        <v>0</v>
      </c>
      <c r="J893" s="178" t="s">
        <v>497</v>
      </c>
    </row>
    <row r="894" spans="1:10">
      <c r="A894" s="178">
        <v>400</v>
      </c>
      <c r="B894" s="178" t="s">
        <v>377</v>
      </c>
      <c r="C894" s="178">
        <v>58801822.78</v>
      </c>
      <c r="D894" s="178">
        <v>0</v>
      </c>
      <c r="E894" s="178">
        <v>58801822.78</v>
      </c>
      <c r="F894" s="178">
        <v>2502183.73</v>
      </c>
      <c r="G894" s="178">
        <v>2502183.73</v>
      </c>
      <c r="H894" s="178">
        <v>56299639.05</v>
      </c>
      <c r="I894" s="178">
        <v>56299639.05</v>
      </c>
      <c r="J894" s="178" t="s">
        <v>497</v>
      </c>
    </row>
    <row r="895" spans="1:10">
      <c r="A895" s="178">
        <v>410</v>
      </c>
      <c r="B895" s="178" t="s">
        <v>551</v>
      </c>
      <c r="C895" s="178">
        <v>0</v>
      </c>
      <c r="D895" s="178">
        <v>0</v>
      </c>
      <c r="E895" s="178">
        <v>0</v>
      </c>
      <c r="F895" s="178">
        <v>0</v>
      </c>
      <c r="G895" s="178">
        <v>0</v>
      </c>
      <c r="H895" s="178">
        <v>0</v>
      </c>
      <c r="I895" s="178">
        <v>0</v>
      </c>
      <c r="J895" s="178" t="s">
        <v>497</v>
      </c>
    </row>
    <row r="896" spans="1:10">
      <c r="A896" s="178">
        <v>420</v>
      </c>
      <c r="B896" s="178" t="s">
        <v>270</v>
      </c>
      <c r="C896" s="178">
        <v>6443824.97</v>
      </c>
      <c r="D896" s="178">
        <v>0</v>
      </c>
      <c r="E896" s="178">
        <v>6443824.97</v>
      </c>
      <c r="F896" s="178">
        <v>4720148.36</v>
      </c>
      <c r="G896" s="178">
        <v>4720148.36</v>
      </c>
      <c r="H896" s="178">
        <v>1723676.61</v>
      </c>
      <c r="I896" s="178">
        <v>1723676.61</v>
      </c>
      <c r="J896" s="178" t="s">
        <v>497</v>
      </c>
    </row>
    <row r="897" spans="1:10">
      <c r="A897" s="178">
        <v>430</v>
      </c>
      <c r="B897" s="178" t="s">
        <v>379</v>
      </c>
      <c r="C897" s="178">
        <v>9874117.99</v>
      </c>
      <c r="D897" s="178">
        <v>0</v>
      </c>
      <c r="E897" s="178">
        <v>9874117.99</v>
      </c>
      <c r="F897" s="178">
        <v>-311358.28</v>
      </c>
      <c r="G897" s="178">
        <v>-311358.28</v>
      </c>
      <c r="H897" s="178">
        <v>10185476.27</v>
      </c>
      <c r="I897" s="178">
        <v>10185476.27</v>
      </c>
      <c r="J897" s="178" t="s">
        <v>497</v>
      </c>
    </row>
    <row r="898" spans="1:10">
      <c r="A898" s="178">
        <v>440</v>
      </c>
      <c r="B898" s="178" t="s">
        <v>380</v>
      </c>
      <c r="C898" s="178">
        <v>0</v>
      </c>
      <c r="D898" s="178">
        <v>0</v>
      </c>
      <c r="E898" s="178">
        <v>0</v>
      </c>
      <c r="F898" s="178">
        <v>0</v>
      </c>
      <c r="G898" s="178">
        <v>0</v>
      </c>
      <c r="H898" s="178">
        <v>0</v>
      </c>
      <c r="I898" s="178">
        <v>0</v>
      </c>
      <c r="J898" s="178" t="s">
        <v>497</v>
      </c>
    </row>
    <row r="899" spans="1:10">
      <c r="A899" s="178">
        <v>450</v>
      </c>
      <c r="B899" s="178" t="s">
        <v>552</v>
      </c>
      <c r="C899" s="178">
        <v>2441139.06</v>
      </c>
      <c r="D899" s="178">
        <v>0</v>
      </c>
      <c r="E899" s="178">
        <v>2441139.06</v>
      </c>
      <c r="F899" s="178">
        <v>-54219.08</v>
      </c>
      <c r="G899" s="178">
        <v>-54219.08</v>
      </c>
      <c r="H899" s="178">
        <v>2495358.14</v>
      </c>
      <c r="I899" s="178">
        <v>2495358.14</v>
      </c>
      <c r="J899" s="178" t="s">
        <v>497</v>
      </c>
    </row>
    <row r="900" spans="1:10">
      <c r="A900" s="178">
        <v>460</v>
      </c>
      <c r="B900" s="178" t="s">
        <v>553</v>
      </c>
      <c r="C900" s="178">
        <v>0</v>
      </c>
      <c r="D900" s="178">
        <v>0</v>
      </c>
      <c r="E900" s="178">
        <v>0</v>
      </c>
      <c r="F900" s="178">
        <v>0</v>
      </c>
      <c r="G900" s="178">
        <v>0</v>
      </c>
      <c r="H900" s="178">
        <v>0</v>
      </c>
      <c r="I900" s="178">
        <v>0</v>
      </c>
      <c r="J900" s="178" t="s">
        <v>497</v>
      </c>
    </row>
    <row r="901" spans="1:10">
      <c r="A901" s="178">
        <v>500</v>
      </c>
      <c r="B901" s="178" t="s">
        <v>383</v>
      </c>
      <c r="C901" s="178">
        <v>18759082.02</v>
      </c>
      <c r="D901" s="178">
        <v>0</v>
      </c>
      <c r="E901" s="178">
        <v>18759082.02</v>
      </c>
      <c r="F901" s="178">
        <v>4354571</v>
      </c>
      <c r="G901" s="178">
        <v>4354571</v>
      </c>
      <c r="H901" s="178">
        <v>14404511.02</v>
      </c>
      <c r="I901" s="178">
        <v>14404511.02</v>
      </c>
      <c r="J901" s="178" t="s">
        <v>497</v>
      </c>
    </row>
    <row r="902" spans="1:10">
      <c r="A902" s="178">
        <v>510</v>
      </c>
      <c r="B902" s="178" t="s">
        <v>554</v>
      </c>
      <c r="C902" s="178">
        <v>0</v>
      </c>
      <c r="D902" s="178">
        <v>0</v>
      </c>
      <c r="E902" s="178">
        <v>0</v>
      </c>
      <c r="F902" s="178">
        <v>0</v>
      </c>
      <c r="G902" s="178">
        <v>0</v>
      </c>
      <c r="H902" s="178">
        <v>0</v>
      </c>
      <c r="I902" s="178">
        <v>0</v>
      </c>
      <c r="J902" s="178" t="s">
        <v>497</v>
      </c>
    </row>
    <row r="903" spans="1:10">
      <c r="A903" s="178">
        <v>520</v>
      </c>
      <c r="B903" s="178" t="s">
        <v>555</v>
      </c>
      <c r="C903" s="178">
        <v>-8.76</v>
      </c>
      <c r="D903" s="178">
        <v>0</v>
      </c>
      <c r="E903" s="178">
        <v>-8.76</v>
      </c>
      <c r="F903" s="178">
        <v>0</v>
      </c>
      <c r="G903" s="178">
        <v>0</v>
      </c>
      <c r="H903" s="178">
        <v>-8.76</v>
      </c>
      <c r="I903" s="178">
        <v>-8.76</v>
      </c>
      <c r="J903" s="178" t="s">
        <v>497</v>
      </c>
    </row>
    <row r="904" spans="1:10">
      <c r="A904" s="178">
        <v>530</v>
      </c>
      <c r="B904" s="178" t="s">
        <v>555</v>
      </c>
      <c r="C904" s="178">
        <v>0</v>
      </c>
      <c r="D904" s="178">
        <v>0</v>
      </c>
      <c r="E904" s="178">
        <v>0</v>
      </c>
      <c r="F904" s="178">
        <v>0</v>
      </c>
      <c r="G904" s="178">
        <v>0</v>
      </c>
      <c r="H904" s="178">
        <v>0</v>
      </c>
      <c r="I904" s="178">
        <v>0</v>
      </c>
      <c r="J904" s="178" t="s">
        <v>497</v>
      </c>
    </row>
    <row r="905" spans="1:10">
      <c r="A905" s="178">
        <v>540</v>
      </c>
      <c r="B905" s="178" t="s">
        <v>387</v>
      </c>
      <c r="C905" s="178">
        <v>0</v>
      </c>
      <c r="D905" s="178">
        <v>0</v>
      </c>
      <c r="E905" s="178">
        <v>0</v>
      </c>
      <c r="F905" s="178">
        <v>0</v>
      </c>
      <c r="G905" s="178">
        <v>0</v>
      </c>
      <c r="H905" s="178">
        <v>0</v>
      </c>
      <c r="I905" s="178">
        <v>0</v>
      </c>
      <c r="J905" s="178" t="s">
        <v>497</v>
      </c>
    </row>
    <row r="906" spans="1:10">
      <c r="A906" s="178">
        <v>600</v>
      </c>
      <c r="B906" s="178" t="s">
        <v>388</v>
      </c>
      <c r="C906" s="178">
        <v>-8.76</v>
      </c>
      <c r="D906" s="178">
        <v>0</v>
      </c>
      <c r="E906" s="178">
        <v>-8.76</v>
      </c>
      <c r="F906" s="178">
        <v>0</v>
      </c>
      <c r="G906" s="178">
        <v>0</v>
      </c>
      <c r="H906" s="178">
        <v>-8.76</v>
      </c>
      <c r="I906" s="178">
        <v>-8.76</v>
      </c>
      <c r="J906" s="178" t="s">
        <v>497</v>
      </c>
    </row>
    <row r="907" spans="1:10">
      <c r="A907" s="178">
        <v>610</v>
      </c>
      <c r="B907" s="178" t="s">
        <v>556</v>
      </c>
      <c r="C907" s="178">
        <v>0</v>
      </c>
      <c r="D907" s="178">
        <v>0</v>
      </c>
      <c r="E907" s="178">
        <v>0</v>
      </c>
      <c r="F907" s="178">
        <v>0</v>
      </c>
      <c r="G907" s="178">
        <v>0</v>
      </c>
      <c r="H907" s="178">
        <v>0</v>
      </c>
      <c r="I907" s="178">
        <v>0</v>
      </c>
      <c r="J907" s="178" t="s">
        <v>497</v>
      </c>
    </row>
    <row r="908" spans="1:10">
      <c r="A908" s="178">
        <v>620</v>
      </c>
      <c r="B908" s="178" t="s">
        <v>390</v>
      </c>
      <c r="C908" s="178">
        <v>0</v>
      </c>
      <c r="D908" s="178">
        <v>0</v>
      </c>
      <c r="E908" s="178">
        <v>0</v>
      </c>
      <c r="F908" s="178">
        <v>0</v>
      </c>
      <c r="G908" s="178">
        <v>0</v>
      </c>
      <c r="H908" s="178">
        <v>0</v>
      </c>
      <c r="I908" s="178">
        <v>0</v>
      </c>
      <c r="J908" s="178" t="s">
        <v>497</v>
      </c>
    </row>
    <row r="909" spans="1:10">
      <c r="A909" s="178">
        <v>700</v>
      </c>
      <c r="B909" s="178" t="s">
        <v>557</v>
      </c>
      <c r="C909" s="178">
        <v>0</v>
      </c>
      <c r="D909" s="178">
        <v>0</v>
      </c>
      <c r="E909" s="178">
        <v>0</v>
      </c>
      <c r="F909" s="178">
        <v>0</v>
      </c>
      <c r="G909" s="178">
        <v>0</v>
      </c>
      <c r="H909" s="178">
        <v>0</v>
      </c>
      <c r="I909" s="178">
        <v>0</v>
      </c>
      <c r="J909" s="178" t="s">
        <v>497</v>
      </c>
    </row>
    <row r="910" spans="1:10">
      <c r="A910" s="178">
        <v>710</v>
      </c>
      <c r="B910" s="178" t="s">
        <v>558</v>
      </c>
      <c r="C910" s="178">
        <v>0</v>
      </c>
      <c r="D910" s="178">
        <v>0</v>
      </c>
      <c r="E910" s="178">
        <v>0</v>
      </c>
      <c r="F910" s="178">
        <v>0</v>
      </c>
      <c r="G910" s="178">
        <v>0</v>
      </c>
      <c r="H910" s="178">
        <v>0</v>
      </c>
      <c r="I910" s="178">
        <v>0</v>
      </c>
      <c r="J910" s="178" t="s">
        <v>497</v>
      </c>
    </row>
    <row r="911" spans="1:10">
      <c r="A911" s="178">
        <v>720</v>
      </c>
      <c r="B911" s="178" t="s">
        <v>276</v>
      </c>
      <c r="C911" s="178">
        <v>37609982.34</v>
      </c>
      <c r="D911" s="178">
        <v>0</v>
      </c>
      <c r="E911" s="178">
        <v>37609982.34</v>
      </c>
      <c r="F911" s="178">
        <v>0</v>
      </c>
      <c r="G911" s="178">
        <v>0</v>
      </c>
      <c r="H911" s="178">
        <v>37609982.34</v>
      </c>
      <c r="I911" s="178">
        <v>37609982.34</v>
      </c>
      <c r="J911" s="178" t="s">
        <v>497</v>
      </c>
    </row>
    <row r="912" spans="1:10">
      <c r="A912" s="178">
        <v>730</v>
      </c>
      <c r="B912" s="178" t="s">
        <v>393</v>
      </c>
      <c r="C912" s="178">
        <v>0</v>
      </c>
      <c r="D912" s="178">
        <v>0</v>
      </c>
      <c r="E912" s="178">
        <v>0</v>
      </c>
      <c r="F912" s="178">
        <v>0</v>
      </c>
      <c r="G912" s="178">
        <v>0</v>
      </c>
      <c r="H912" s="178">
        <v>0</v>
      </c>
      <c r="I912" s="178">
        <v>0</v>
      </c>
      <c r="J912" s="178" t="s">
        <v>497</v>
      </c>
    </row>
    <row r="913" spans="1:10">
      <c r="A913" s="178">
        <v>740</v>
      </c>
      <c r="B913" s="178" t="s">
        <v>394</v>
      </c>
      <c r="C913" s="178">
        <v>4285154.45</v>
      </c>
      <c r="D913" s="178">
        <v>0</v>
      </c>
      <c r="E913" s="178">
        <v>4285154.45</v>
      </c>
      <c r="F913" s="178">
        <v>0</v>
      </c>
      <c r="G913" s="178">
        <v>0</v>
      </c>
      <c r="H913" s="178">
        <v>7555595.22</v>
      </c>
      <c r="I913" s="178">
        <v>4285154.45</v>
      </c>
      <c r="J913" s="178" t="s">
        <v>497</v>
      </c>
    </row>
    <row r="914" spans="1:10">
      <c r="A914" s="178">
        <v>750</v>
      </c>
      <c r="B914" s="178" t="s">
        <v>395</v>
      </c>
      <c r="C914" s="178">
        <v>-1852387.27</v>
      </c>
      <c r="D914" s="178">
        <v>1119089</v>
      </c>
      <c r="E914" s="178">
        <v>-2971476.27</v>
      </c>
      <c r="F914" s="178">
        <v>-1852387.27</v>
      </c>
      <c r="G914" s="178">
        <v>-1852387.27</v>
      </c>
      <c r="H914" s="178">
        <v>-3270440.77</v>
      </c>
      <c r="I914" s="178">
        <v>0</v>
      </c>
      <c r="J914" s="178" t="s">
        <v>497</v>
      </c>
    </row>
    <row r="915" spans="1:10">
      <c r="A915" s="178">
        <v>760</v>
      </c>
      <c r="B915" s="178" t="s">
        <v>396</v>
      </c>
      <c r="C915" s="178">
        <v>0</v>
      </c>
      <c r="D915" s="178">
        <v>0</v>
      </c>
      <c r="E915" s="178">
        <v>0</v>
      </c>
      <c r="F915" s="178">
        <v>0</v>
      </c>
      <c r="G915" s="178">
        <v>0</v>
      </c>
      <c r="H915" s="178">
        <v>0</v>
      </c>
      <c r="I915" s="178">
        <v>0</v>
      </c>
      <c r="J915" s="178" t="s">
        <v>497</v>
      </c>
    </row>
    <row r="916" spans="1:10">
      <c r="A916" s="178">
        <v>770</v>
      </c>
      <c r="B916" s="178" t="s">
        <v>397</v>
      </c>
      <c r="C916" s="178">
        <v>0</v>
      </c>
      <c r="D916" s="178">
        <v>0</v>
      </c>
      <c r="E916" s="178">
        <v>0</v>
      </c>
      <c r="F916" s="178">
        <v>0</v>
      </c>
      <c r="G916" s="178">
        <v>0</v>
      </c>
      <c r="H916" s="178">
        <v>0</v>
      </c>
      <c r="I916" s="178">
        <v>0</v>
      </c>
      <c r="J916" s="178" t="s">
        <v>497</v>
      </c>
    </row>
    <row r="917" spans="1:10">
      <c r="A917" s="178">
        <v>800</v>
      </c>
      <c r="B917" s="178" t="s">
        <v>398</v>
      </c>
      <c r="C917" s="178">
        <v>40042749.52</v>
      </c>
      <c r="D917" s="178">
        <v>1119089</v>
      </c>
      <c r="E917" s="178">
        <v>38923660.52</v>
      </c>
      <c r="F917" s="178">
        <v>-1852387.27</v>
      </c>
      <c r="G917" s="178">
        <v>-1852387.27</v>
      </c>
      <c r="H917" s="178">
        <v>41895136.79</v>
      </c>
      <c r="I917" s="178">
        <v>41895136.79</v>
      </c>
      <c r="J917" s="178" t="s">
        <v>497</v>
      </c>
    </row>
    <row r="918" spans="1:10">
      <c r="A918" s="178">
        <v>900</v>
      </c>
      <c r="B918" s="178" t="s">
        <v>399</v>
      </c>
      <c r="C918" s="178">
        <v>58801822.78</v>
      </c>
      <c r="D918" s="178">
        <v>1119089</v>
      </c>
      <c r="E918" s="178">
        <v>57682733.78</v>
      </c>
      <c r="F918" s="178">
        <v>2502183.73</v>
      </c>
      <c r="G918" s="178">
        <v>2502183.73</v>
      </c>
      <c r="H918" s="178">
        <v>56299639.05</v>
      </c>
      <c r="I918" s="178">
        <v>56299639.05</v>
      </c>
      <c r="J918" s="178" t="s">
        <v>497</v>
      </c>
    </row>
    <row r="919" spans="1:10">
      <c r="A919" s="178">
        <v>1000</v>
      </c>
      <c r="B919" s="178" t="s">
        <v>559</v>
      </c>
      <c r="C919" s="178">
        <v>0</v>
      </c>
      <c r="D919" s="178">
        <v>-1119089</v>
      </c>
      <c r="E919" s="178">
        <v>1119089</v>
      </c>
      <c r="F919" s="178">
        <v>0</v>
      </c>
      <c r="G919" s="178">
        <v>0</v>
      </c>
      <c r="H919" s="178">
        <v>0</v>
      </c>
      <c r="I919" s="178">
        <v>0</v>
      </c>
      <c r="J919" s="178" t="s">
        <v>497</v>
      </c>
    </row>
    <row r="920" spans="1:10">
      <c r="A920" s="178" t="s">
        <v>451</v>
      </c>
      <c r="B920" s="178" t="s">
        <v>402</v>
      </c>
      <c r="C920" s="178" t="s">
        <v>538</v>
      </c>
      <c r="D920" s="178" t="s">
        <v>539</v>
      </c>
      <c r="E920" s="178" t="s">
        <v>540</v>
      </c>
      <c r="F920" s="178" t="s">
        <v>541</v>
      </c>
      <c r="G920" s="178" t="s">
        <v>542</v>
      </c>
      <c r="H920" s="178" t="s">
        <v>543</v>
      </c>
      <c r="I920" s="178" t="s">
        <v>544</v>
      </c>
      <c r="J920" s="178" t="s">
        <v>405</v>
      </c>
    </row>
    <row r="921" spans="1:10">
      <c r="A921" s="178">
        <v>10</v>
      </c>
      <c r="B921" s="178" t="s">
        <v>545</v>
      </c>
      <c r="C921" s="178">
        <v>0</v>
      </c>
      <c r="D921" s="178">
        <v>0</v>
      </c>
      <c r="E921" s="178">
        <v>0</v>
      </c>
      <c r="F921" s="178">
        <v>0</v>
      </c>
      <c r="G921" s="178">
        <v>0</v>
      </c>
      <c r="H921" s="178">
        <v>0</v>
      </c>
      <c r="I921" s="178">
        <v>0</v>
      </c>
      <c r="J921" s="178" t="s">
        <v>497</v>
      </c>
    </row>
    <row r="922" spans="1:10">
      <c r="A922" s="178">
        <v>20</v>
      </c>
      <c r="B922" s="178" t="s">
        <v>359</v>
      </c>
      <c r="C922" s="178">
        <v>5334749.22</v>
      </c>
      <c r="D922" s="178">
        <v>0</v>
      </c>
      <c r="E922" s="178">
        <v>5334749.22</v>
      </c>
      <c r="F922" s="178">
        <v>2771585.69</v>
      </c>
      <c r="G922" s="178">
        <v>2771585.69</v>
      </c>
      <c r="H922" s="178">
        <v>2563163.53</v>
      </c>
      <c r="I922" s="178">
        <v>2563163.53</v>
      </c>
      <c r="J922" s="178" t="s">
        <v>497</v>
      </c>
    </row>
    <row r="923" spans="1:10">
      <c r="A923" s="178">
        <v>30</v>
      </c>
      <c r="B923" s="178" t="s">
        <v>360</v>
      </c>
      <c r="C923" s="178">
        <v>0</v>
      </c>
      <c r="D923" s="178">
        <v>0</v>
      </c>
      <c r="E923" s="178">
        <v>0</v>
      </c>
      <c r="F923" s="178">
        <v>0</v>
      </c>
      <c r="G923" s="178">
        <v>0</v>
      </c>
      <c r="H923" s="178">
        <v>0</v>
      </c>
      <c r="I923" s="178">
        <v>0</v>
      </c>
      <c r="J923" s="178" t="s">
        <v>497</v>
      </c>
    </row>
    <row r="924" spans="1:10">
      <c r="A924" s="178">
        <v>40</v>
      </c>
      <c r="B924" s="178" t="s">
        <v>266</v>
      </c>
      <c r="C924" s="178">
        <v>25601359.06</v>
      </c>
      <c r="D924" s="178">
        <v>0</v>
      </c>
      <c r="E924" s="178">
        <v>25601359.06</v>
      </c>
      <c r="F924" s="178">
        <v>3608450.5</v>
      </c>
      <c r="G924" s="178">
        <v>3608450.5</v>
      </c>
      <c r="H924" s="178">
        <v>21992908.56</v>
      </c>
      <c r="I924" s="178">
        <v>21992908.56</v>
      </c>
      <c r="J924" s="178" t="s">
        <v>497</v>
      </c>
    </row>
    <row r="925" spans="1:10">
      <c r="A925" s="178">
        <v>50</v>
      </c>
      <c r="B925" s="178" t="s">
        <v>267</v>
      </c>
      <c r="C925" s="178">
        <v>48836382.84</v>
      </c>
      <c r="D925" s="178">
        <v>0</v>
      </c>
      <c r="E925" s="178">
        <v>48836382.84</v>
      </c>
      <c r="F925" s="178">
        <v>529393.91</v>
      </c>
      <c r="G925" s="178">
        <v>529393.91</v>
      </c>
      <c r="H925" s="178">
        <v>48306988.93</v>
      </c>
      <c r="I925" s="178">
        <v>48306988.93</v>
      </c>
      <c r="J925" s="178" t="s">
        <v>497</v>
      </c>
    </row>
    <row r="926" spans="1:10">
      <c r="A926" s="178">
        <v>60</v>
      </c>
      <c r="B926" s="178" t="s">
        <v>268</v>
      </c>
      <c r="C926" s="178">
        <v>12883465.92</v>
      </c>
      <c r="D926" s="178">
        <v>0</v>
      </c>
      <c r="E926" s="178">
        <v>12883465.92</v>
      </c>
      <c r="F926" s="178">
        <v>497029.79</v>
      </c>
      <c r="G926" s="178">
        <v>497029.79</v>
      </c>
      <c r="H926" s="178">
        <v>12386436.13</v>
      </c>
      <c r="I926" s="178">
        <v>12386436.13</v>
      </c>
      <c r="J926" s="178" t="s">
        <v>497</v>
      </c>
    </row>
    <row r="927" spans="1:10">
      <c r="A927" s="178">
        <v>70</v>
      </c>
      <c r="B927" s="178" t="s">
        <v>269</v>
      </c>
      <c r="C927" s="178">
        <v>1802079.12</v>
      </c>
      <c r="D927" s="178">
        <v>0</v>
      </c>
      <c r="E927" s="178">
        <v>1802079.12</v>
      </c>
      <c r="F927" s="178">
        <v>0</v>
      </c>
      <c r="G927" s="178">
        <v>0</v>
      </c>
      <c r="H927" s="178">
        <v>1802079.12</v>
      </c>
      <c r="I927" s="178">
        <v>1802079.12</v>
      </c>
      <c r="J927" s="178" t="s">
        <v>497</v>
      </c>
    </row>
    <row r="928" spans="1:10">
      <c r="A928" s="178">
        <v>80</v>
      </c>
      <c r="B928" s="178" t="s">
        <v>560</v>
      </c>
      <c r="C928" s="178">
        <v>17652962.74</v>
      </c>
      <c r="D928" s="178">
        <v>0</v>
      </c>
      <c r="E928" s="178">
        <v>17652962.74</v>
      </c>
      <c r="F928" s="178">
        <v>-9668164.09</v>
      </c>
      <c r="G928" s="178">
        <v>-9668164.09</v>
      </c>
      <c r="H928" s="178">
        <v>27321126.83</v>
      </c>
      <c r="I928" s="178">
        <v>27321126.83</v>
      </c>
      <c r="J928" s="178" t="s">
        <v>497</v>
      </c>
    </row>
    <row r="929" spans="1:10">
      <c r="A929" s="178">
        <v>100</v>
      </c>
      <c r="B929" s="178" t="s">
        <v>547</v>
      </c>
      <c r="C929" s="178">
        <v>112110998.9</v>
      </c>
      <c r="D929" s="178">
        <v>0</v>
      </c>
      <c r="E929" s="178">
        <v>112110998.9</v>
      </c>
      <c r="F929" s="178">
        <v>-2261704.2</v>
      </c>
      <c r="G929" s="178">
        <v>-2261704.2</v>
      </c>
      <c r="H929" s="178">
        <v>114372703.1</v>
      </c>
      <c r="I929" s="178">
        <v>114372703.1</v>
      </c>
      <c r="J929" s="178" t="s">
        <v>497</v>
      </c>
    </row>
    <row r="930" spans="1:10">
      <c r="A930" s="178">
        <v>110</v>
      </c>
      <c r="B930" s="178" t="s">
        <v>548</v>
      </c>
      <c r="C930" s="178">
        <v>0</v>
      </c>
      <c r="D930" s="178">
        <v>0</v>
      </c>
      <c r="E930" s="178">
        <v>0</v>
      </c>
      <c r="F930" s="178">
        <v>0</v>
      </c>
      <c r="G930" s="178">
        <v>0</v>
      </c>
      <c r="H930" s="178">
        <v>0</v>
      </c>
      <c r="I930" s="178">
        <v>0</v>
      </c>
      <c r="J930" s="178" t="s">
        <v>497</v>
      </c>
    </row>
    <row r="931" spans="1:10">
      <c r="A931" s="178">
        <v>120</v>
      </c>
      <c r="B931" s="178" t="s">
        <v>322</v>
      </c>
      <c r="C931" s="178">
        <v>12810029</v>
      </c>
      <c r="D931" s="178">
        <v>0</v>
      </c>
      <c r="E931" s="178">
        <v>12810029</v>
      </c>
      <c r="F931" s="178">
        <v>0</v>
      </c>
      <c r="G931" s="178">
        <v>0</v>
      </c>
      <c r="H931" s="178">
        <v>12810029</v>
      </c>
      <c r="I931" s="178">
        <v>12810029</v>
      </c>
      <c r="J931" s="178" t="s">
        <v>497</v>
      </c>
    </row>
    <row r="932" spans="1:10">
      <c r="A932" s="178">
        <v>130</v>
      </c>
      <c r="B932" s="178" t="s">
        <v>282</v>
      </c>
      <c r="C932" s="178">
        <v>51503769.62</v>
      </c>
      <c r="D932" s="178">
        <v>0</v>
      </c>
      <c r="E932" s="178">
        <v>51503769.62</v>
      </c>
      <c r="F932" s="178">
        <v>0</v>
      </c>
      <c r="G932" s="178">
        <v>0</v>
      </c>
      <c r="H932" s="178">
        <v>51503769.62</v>
      </c>
      <c r="I932" s="178">
        <v>51503769.62</v>
      </c>
      <c r="J932" s="178" t="s">
        <v>497</v>
      </c>
    </row>
    <row r="933" spans="1:10">
      <c r="A933" s="178">
        <v>140</v>
      </c>
      <c r="B933" s="178" t="s">
        <v>364</v>
      </c>
      <c r="C933" s="178">
        <v>564457.99</v>
      </c>
      <c r="D933" s="178">
        <v>0</v>
      </c>
      <c r="E933" s="178">
        <v>564457.99</v>
      </c>
      <c r="F933" s="178">
        <v>0</v>
      </c>
      <c r="G933" s="178">
        <v>0</v>
      </c>
      <c r="H933" s="178">
        <v>564457.99</v>
      </c>
      <c r="I933" s="178">
        <v>564457.99</v>
      </c>
      <c r="J933" s="178" t="s">
        <v>497</v>
      </c>
    </row>
    <row r="934" spans="1:10">
      <c r="A934" s="178">
        <v>150</v>
      </c>
      <c r="B934" s="178" t="s">
        <v>285</v>
      </c>
      <c r="C934" s="178">
        <v>6026703.42</v>
      </c>
      <c r="D934" s="178">
        <v>0</v>
      </c>
      <c r="E934" s="178">
        <v>6026703.42</v>
      </c>
      <c r="F934" s="178">
        <v>0</v>
      </c>
      <c r="G934" s="178">
        <v>0</v>
      </c>
      <c r="H934" s="178">
        <v>6026703.42</v>
      </c>
      <c r="I934" s="178">
        <v>6026703.42</v>
      </c>
      <c r="J934" s="178" t="s">
        <v>497</v>
      </c>
    </row>
    <row r="935" spans="1:10">
      <c r="A935" s="178">
        <v>160</v>
      </c>
      <c r="B935" s="178" t="s">
        <v>284</v>
      </c>
      <c r="C935" s="178">
        <v>696855.62</v>
      </c>
      <c r="D935" s="178">
        <v>0</v>
      </c>
      <c r="E935" s="178">
        <v>696855.62</v>
      </c>
      <c r="F935" s="178">
        <v>-399051.72</v>
      </c>
      <c r="G935" s="178">
        <v>-399051.72</v>
      </c>
      <c r="H935" s="178">
        <v>1095907.34</v>
      </c>
      <c r="I935" s="178">
        <v>1095907.34</v>
      </c>
      <c r="J935" s="178" t="s">
        <v>497</v>
      </c>
    </row>
    <row r="936" spans="1:10">
      <c r="A936" s="178">
        <v>170</v>
      </c>
      <c r="B936" s="178" t="s">
        <v>283</v>
      </c>
      <c r="C936" s="178">
        <v>32310737.53</v>
      </c>
      <c r="D936" s="178">
        <v>0</v>
      </c>
      <c r="E936" s="178">
        <v>32310737.53</v>
      </c>
      <c r="F936" s="178">
        <v>0</v>
      </c>
      <c r="G936" s="178">
        <v>0</v>
      </c>
      <c r="H936" s="178">
        <v>32310737.53</v>
      </c>
      <c r="I936" s="178">
        <v>32310737.53</v>
      </c>
      <c r="J936" s="178" t="s">
        <v>497</v>
      </c>
    </row>
    <row r="937" spans="1:10">
      <c r="A937" s="178">
        <v>180</v>
      </c>
      <c r="B937" s="178" t="s">
        <v>366</v>
      </c>
      <c r="C937" s="178">
        <v>0</v>
      </c>
      <c r="D937" s="178">
        <v>0</v>
      </c>
      <c r="E937" s="178">
        <v>0</v>
      </c>
      <c r="F937" s="178">
        <v>0</v>
      </c>
      <c r="G937" s="178">
        <v>0</v>
      </c>
      <c r="H937" s="178">
        <v>0</v>
      </c>
      <c r="I937" s="178">
        <v>0</v>
      </c>
      <c r="J937" s="178" t="s">
        <v>497</v>
      </c>
    </row>
    <row r="938" spans="1:10">
      <c r="A938" s="178">
        <v>190</v>
      </c>
      <c r="B938" s="178" t="s">
        <v>367</v>
      </c>
      <c r="C938" s="178">
        <v>-17210847.03</v>
      </c>
      <c r="D938" s="178">
        <v>0</v>
      </c>
      <c r="E938" s="178">
        <v>-17210847.03</v>
      </c>
      <c r="F938" s="178">
        <v>23975.25</v>
      </c>
      <c r="G938" s="178">
        <v>23975.25</v>
      </c>
      <c r="H938" s="178">
        <v>-17234822.28</v>
      </c>
      <c r="I938" s="178">
        <v>-17234822.28</v>
      </c>
      <c r="J938" s="178" t="s">
        <v>497</v>
      </c>
    </row>
    <row r="939" spans="1:10">
      <c r="A939" s="178">
        <v>200</v>
      </c>
      <c r="B939" s="178" t="s">
        <v>368</v>
      </c>
      <c r="C939" s="178">
        <v>86701706.15</v>
      </c>
      <c r="D939" s="178">
        <v>0</v>
      </c>
      <c r="E939" s="178">
        <v>86701706.15</v>
      </c>
      <c r="F939" s="178">
        <v>-375076.47</v>
      </c>
      <c r="G939" s="178">
        <v>-375076.47</v>
      </c>
      <c r="H939" s="178">
        <v>87076782.62</v>
      </c>
      <c r="I939" s="178">
        <v>87076782.62</v>
      </c>
      <c r="J939" s="178" t="s">
        <v>497</v>
      </c>
    </row>
    <row r="940" spans="1:10">
      <c r="A940" s="178">
        <v>210</v>
      </c>
      <c r="B940" s="178" t="s">
        <v>549</v>
      </c>
      <c r="C940" s="178">
        <v>0</v>
      </c>
      <c r="D940" s="178">
        <v>0</v>
      </c>
      <c r="E940" s="178">
        <v>0</v>
      </c>
      <c r="F940" s="178">
        <v>0</v>
      </c>
      <c r="G940" s="178">
        <v>0</v>
      </c>
      <c r="H940" s="178">
        <v>0</v>
      </c>
      <c r="I940" s="178">
        <v>0</v>
      </c>
      <c r="J940" s="178" t="s">
        <v>497</v>
      </c>
    </row>
    <row r="941" spans="1:10">
      <c r="A941" s="178">
        <v>220</v>
      </c>
      <c r="B941" s="178" t="s">
        <v>370</v>
      </c>
      <c r="C941" s="178">
        <v>0</v>
      </c>
      <c r="D941" s="178">
        <v>0</v>
      </c>
      <c r="E941" s="178">
        <v>0</v>
      </c>
      <c r="F941" s="178">
        <v>0</v>
      </c>
      <c r="G941" s="178">
        <v>0</v>
      </c>
      <c r="H941" s="178">
        <v>0</v>
      </c>
      <c r="I941" s="178">
        <v>0</v>
      </c>
      <c r="J941" s="178" t="s">
        <v>497</v>
      </c>
    </row>
    <row r="942" spans="1:10">
      <c r="A942" s="178">
        <v>230</v>
      </c>
      <c r="B942" s="178" t="s">
        <v>371</v>
      </c>
      <c r="C942" s="178">
        <v>1053702.05</v>
      </c>
      <c r="D942" s="178">
        <v>0</v>
      </c>
      <c r="E942" s="178">
        <v>1053702.05</v>
      </c>
      <c r="F942" s="178">
        <v>0</v>
      </c>
      <c r="G942" s="178">
        <v>0</v>
      </c>
      <c r="H942" s="178">
        <v>1053702.05</v>
      </c>
      <c r="I942" s="178">
        <v>1053702.05</v>
      </c>
      <c r="J942" s="178" t="s">
        <v>497</v>
      </c>
    </row>
    <row r="943" spans="1:10">
      <c r="A943" s="178">
        <v>240</v>
      </c>
      <c r="B943" s="178" t="s">
        <v>372</v>
      </c>
      <c r="C943" s="178">
        <v>0</v>
      </c>
      <c r="D943" s="178">
        <v>0</v>
      </c>
      <c r="E943" s="178">
        <v>0</v>
      </c>
      <c r="F943" s="178">
        <v>0</v>
      </c>
      <c r="G943" s="178">
        <v>0</v>
      </c>
      <c r="H943" s="178">
        <v>0</v>
      </c>
      <c r="I943" s="178">
        <v>0</v>
      </c>
      <c r="J943" s="178" t="s">
        <v>497</v>
      </c>
    </row>
    <row r="944" spans="1:10">
      <c r="A944" s="178">
        <v>250</v>
      </c>
      <c r="B944" s="178" t="s">
        <v>373</v>
      </c>
      <c r="C944" s="178">
        <v>1053702.05</v>
      </c>
      <c r="D944" s="178">
        <v>0</v>
      </c>
      <c r="E944" s="178">
        <v>1053702.05</v>
      </c>
      <c r="F944" s="178">
        <v>0</v>
      </c>
      <c r="G944" s="178">
        <v>0</v>
      </c>
      <c r="H944" s="178">
        <v>1053702.05</v>
      </c>
      <c r="I944" s="178">
        <v>1053702.05</v>
      </c>
      <c r="J944" s="178" t="s">
        <v>497</v>
      </c>
    </row>
    <row r="945" spans="1:10">
      <c r="A945" s="178">
        <v>260</v>
      </c>
      <c r="B945" s="178" t="s">
        <v>374</v>
      </c>
      <c r="C945" s="178">
        <v>0</v>
      </c>
      <c r="D945" s="178">
        <v>0</v>
      </c>
      <c r="E945" s="178">
        <v>0</v>
      </c>
      <c r="F945" s="178">
        <v>0</v>
      </c>
      <c r="G945" s="178">
        <v>0</v>
      </c>
      <c r="H945" s="178">
        <v>0</v>
      </c>
      <c r="I945" s="178">
        <v>0</v>
      </c>
      <c r="J945" s="178" t="s">
        <v>497</v>
      </c>
    </row>
    <row r="946" spans="1:10">
      <c r="A946" s="178">
        <v>270</v>
      </c>
      <c r="B946" s="178" t="s">
        <v>375</v>
      </c>
      <c r="C946" s="178">
        <v>0</v>
      </c>
      <c r="D946" s="178">
        <v>0</v>
      </c>
      <c r="E946" s="178">
        <v>0</v>
      </c>
      <c r="F946" s="178">
        <v>0</v>
      </c>
      <c r="G946" s="178">
        <v>0</v>
      </c>
      <c r="H946" s="178">
        <v>0</v>
      </c>
      <c r="I946" s="178">
        <v>0</v>
      </c>
      <c r="J946" s="178" t="s">
        <v>497</v>
      </c>
    </row>
    <row r="947" spans="1:10">
      <c r="A947" s="178">
        <v>280</v>
      </c>
      <c r="B947" s="178" t="s">
        <v>550</v>
      </c>
      <c r="C947" s="178">
        <v>0</v>
      </c>
      <c r="D947" s="178">
        <v>0</v>
      </c>
      <c r="E947" s="178">
        <v>0</v>
      </c>
      <c r="F947" s="178">
        <v>0</v>
      </c>
      <c r="G947" s="178">
        <v>0</v>
      </c>
      <c r="H947" s="178">
        <v>0</v>
      </c>
      <c r="I947" s="178">
        <v>0</v>
      </c>
      <c r="J947" s="178" t="s">
        <v>497</v>
      </c>
    </row>
    <row r="948" spans="1:10">
      <c r="A948" s="178">
        <v>400</v>
      </c>
      <c r="B948" s="178" t="s">
        <v>377</v>
      </c>
      <c r="C948" s="178">
        <v>199866407.1</v>
      </c>
      <c r="D948" s="178">
        <v>0</v>
      </c>
      <c r="E948" s="178">
        <v>199866407.1</v>
      </c>
      <c r="F948" s="178">
        <v>-2636780.67</v>
      </c>
      <c r="G948" s="178">
        <v>-2636780.67</v>
      </c>
      <c r="H948" s="178">
        <v>202503187.77</v>
      </c>
      <c r="I948" s="178">
        <v>202503187.77</v>
      </c>
      <c r="J948" s="178" t="s">
        <v>497</v>
      </c>
    </row>
    <row r="949" spans="1:10">
      <c r="A949" s="178">
        <v>410</v>
      </c>
      <c r="B949" s="178" t="s">
        <v>551</v>
      </c>
      <c r="C949" s="178">
        <v>0</v>
      </c>
      <c r="D949" s="178">
        <v>0</v>
      </c>
      <c r="E949" s="178">
        <v>0</v>
      </c>
      <c r="F949" s="178">
        <v>0</v>
      </c>
      <c r="G949" s="178">
        <v>0</v>
      </c>
      <c r="H949" s="178">
        <v>0</v>
      </c>
      <c r="I949" s="178">
        <v>0</v>
      </c>
      <c r="J949" s="178" t="s">
        <v>497</v>
      </c>
    </row>
    <row r="950" spans="1:10">
      <c r="A950" s="178">
        <v>420</v>
      </c>
      <c r="B950" s="178" t="s">
        <v>270</v>
      </c>
      <c r="C950" s="178">
        <v>33667433.72</v>
      </c>
      <c r="D950" s="178">
        <v>0</v>
      </c>
      <c r="E950" s="178">
        <v>33667433.72</v>
      </c>
      <c r="F950" s="178">
        <v>-4555550.26</v>
      </c>
      <c r="G950" s="178">
        <v>-4555550.26</v>
      </c>
      <c r="H950" s="178">
        <v>38222983.98</v>
      </c>
      <c r="I950" s="178">
        <v>38222983.98</v>
      </c>
      <c r="J950" s="178" t="s">
        <v>497</v>
      </c>
    </row>
    <row r="951" spans="1:10">
      <c r="A951" s="178">
        <v>430</v>
      </c>
      <c r="B951" s="178" t="s">
        <v>379</v>
      </c>
      <c r="C951" s="178">
        <v>1283022.57</v>
      </c>
      <c r="D951" s="178">
        <v>0</v>
      </c>
      <c r="E951" s="178">
        <v>1283022.57</v>
      </c>
      <c r="F951" s="178">
        <v>-252194.22</v>
      </c>
      <c r="G951" s="178">
        <v>-252194.22</v>
      </c>
      <c r="H951" s="178">
        <v>1535216.79</v>
      </c>
      <c r="I951" s="178">
        <v>1535216.79</v>
      </c>
      <c r="J951" s="178" t="s">
        <v>497</v>
      </c>
    </row>
    <row r="952" spans="1:10">
      <c r="A952" s="178">
        <v>440</v>
      </c>
      <c r="B952" s="178" t="s">
        <v>380</v>
      </c>
      <c r="C952" s="178">
        <v>542888.92</v>
      </c>
      <c r="D952" s="178">
        <v>0</v>
      </c>
      <c r="E952" s="178">
        <v>542888.92</v>
      </c>
      <c r="F952" s="178">
        <v>-103144.14</v>
      </c>
      <c r="G952" s="178">
        <v>-103144.14</v>
      </c>
      <c r="H952" s="178">
        <v>646033.06</v>
      </c>
      <c r="I952" s="178">
        <v>646033.06</v>
      </c>
      <c r="J952" s="178" t="s">
        <v>497</v>
      </c>
    </row>
    <row r="953" spans="1:10">
      <c r="A953" s="178">
        <v>450</v>
      </c>
      <c r="B953" s="178" t="s">
        <v>381</v>
      </c>
      <c r="C953" s="178">
        <v>15603619.76</v>
      </c>
      <c r="D953" s="178">
        <v>0</v>
      </c>
      <c r="E953" s="178">
        <v>15603619.76</v>
      </c>
      <c r="F953" s="178">
        <v>110820.51</v>
      </c>
      <c r="G953" s="178">
        <v>110820.51</v>
      </c>
      <c r="H953" s="178">
        <v>15492799.25</v>
      </c>
      <c r="I953" s="178">
        <v>15492799.25</v>
      </c>
      <c r="J953" s="178" t="s">
        <v>497</v>
      </c>
    </row>
    <row r="954" spans="1:10">
      <c r="A954" s="178">
        <v>460</v>
      </c>
      <c r="B954" s="178" t="s">
        <v>561</v>
      </c>
      <c r="C954" s="178">
        <v>0</v>
      </c>
      <c r="D954" s="178">
        <v>0</v>
      </c>
      <c r="E954" s="178">
        <v>0</v>
      </c>
      <c r="F954" s="178">
        <v>0</v>
      </c>
      <c r="G954" s="178">
        <v>0</v>
      </c>
      <c r="H954" s="178">
        <v>0</v>
      </c>
      <c r="I954" s="178">
        <v>0</v>
      </c>
      <c r="J954" s="178" t="s">
        <v>497</v>
      </c>
    </row>
    <row r="955" spans="1:10">
      <c r="A955" s="178">
        <v>500</v>
      </c>
      <c r="B955" s="178" t="s">
        <v>383</v>
      </c>
      <c r="C955" s="178">
        <v>51096964.97</v>
      </c>
      <c r="D955" s="178">
        <v>0</v>
      </c>
      <c r="E955" s="178">
        <v>51096964.97</v>
      </c>
      <c r="F955" s="178">
        <v>-4800068.11</v>
      </c>
      <c r="G955" s="178">
        <v>-4800068.11</v>
      </c>
      <c r="H955" s="178">
        <v>55897033.08</v>
      </c>
      <c r="I955" s="178">
        <v>55897033.08</v>
      </c>
      <c r="J955" s="178" t="s">
        <v>497</v>
      </c>
    </row>
    <row r="956" spans="1:10">
      <c r="A956" s="178">
        <v>510</v>
      </c>
      <c r="B956" s="178" t="s">
        <v>554</v>
      </c>
      <c r="C956" s="178">
        <v>0</v>
      </c>
      <c r="D956" s="178">
        <v>0</v>
      </c>
      <c r="E956" s="178">
        <v>0</v>
      </c>
      <c r="F956" s="178">
        <v>0</v>
      </c>
      <c r="G956" s="178">
        <v>0</v>
      </c>
      <c r="H956" s="178">
        <v>0</v>
      </c>
      <c r="I956" s="178">
        <v>0</v>
      </c>
      <c r="J956" s="178" t="s">
        <v>497</v>
      </c>
    </row>
    <row r="957" spans="1:10">
      <c r="A957" s="178">
        <v>520</v>
      </c>
      <c r="B957" s="178" t="s">
        <v>385</v>
      </c>
      <c r="C957" s="178">
        <v>0</v>
      </c>
      <c r="D957" s="178">
        <v>0</v>
      </c>
      <c r="E957" s="178">
        <v>0</v>
      </c>
      <c r="F957" s="178">
        <v>0</v>
      </c>
      <c r="G957" s="178">
        <v>0</v>
      </c>
      <c r="H957" s="178">
        <v>0</v>
      </c>
      <c r="I957" s="178">
        <v>0</v>
      </c>
      <c r="J957" s="178" t="s">
        <v>497</v>
      </c>
    </row>
    <row r="958" spans="1:10">
      <c r="A958" s="178">
        <v>530</v>
      </c>
      <c r="B958" s="178" t="s">
        <v>386</v>
      </c>
      <c r="C958" s="178">
        <v>53975555.82</v>
      </c>
      <c r="D958" s="178">
        <v>0</v>
      </c>
      <c r="E958" s="178">
        <v>53975555.82</v>
      </c>
      <c r="F958" s="178">
        <v>-436347.19</v>
      </c>
      <c r="G958" s="178">
        <v>-436347.19</v>
      </c>
      <c r="H958" s="178">
        <v>54411903.01</v>
      </c>
      <c r="I958" s="178">
        <v>54411903.01</v>
      </c>
      <c r="J958" s="178" t="s">
        <v>497</v>
      </c>
    </row>
    <row r="959" spans="1:10">
      <c r="A959" s="178">
        <v>540</v>
      </c>
      <c r="B959" s="178" t="s">
        <v>387</v>
      </c>
      <c r="C959" s="178">
        <v>0</v>
      </c>
      <c r="D959" s="178">
        <v>0</v>
      </c>
      <c r="E959" s="178">
        <v>0</v>
      </c>
      <c r="F959" s="178">
        <v>0</v>
      </c>
      <c r="G959" s="178">
        <v>0</v>
      </c>
      <c r="H959" s="178">
        <v>0</v>
      </c>
      <c r="I959" s="178">
        <v>0</v>
      </c>
      <c r="J959" s="178" t="s">
        <v>497</v>
      </c>
    </row>
    <row r="960" spans="1:10">
      <c r="A960" s="178">
        <v>600</v>
      </c>
      <c r="B960" s="178" t="s">
        <v>388</v>
      </c>
      <c r="C960" s="178">
        <v>53975555.82</v>
      </c>
      <c r="D960" s="178">
        <v>0</v>
      </c>
      <c r="E960" s="178">
        <v>53975555.82</v>
      </c>
      <c r="F960" s="178">
        <v>-436347.19</v>
      </c>
      <c r="G960" s="178">
        <v>-436347.19</v>
      </c>
      <c r="H960" s="178">
        <v>54411903.01</v>
      </c>
      <c r="I960" s="178">
        <v>54411903.01</v>
      </c>
      <c r="J960" s="178" t="s">
        <v>497</v>
      </c>
    </row>
    <row r="961" spans="1:10">
      <c r="A961" s="178">
        <v>610</v>
      </c>
      <c r="B961" s="178" t="s">
        <v>556</v>
      </c>
      <c r="C961" s="178">
        <v>0</v>
      </c>
      <c r="D961" s="178">
        <v>0</v>
      </c>
      <c r="E961" s="178">
        <v>0</v>
      </c>
      <c r="F961" s="178">
        <v>0</v>
      </c>
      <c r="G961" s="178">
        <v>0</v>
      </c>
      <c r="H961" s="178">
        <v>0</v>
      </c>
      <c r="I961" s="178">
        <v>0</v>
      </c>
      <c r="J961" s="178" t="s">
        <v>497</v>
      </c>
    </row>
    <row r="962" spans="1:10">
      <c r="A962" s="178">
        <v>620</v>
      </c>
      <c r="B962" s="178" t="s">
        <v>390</v>
      </c>
      <c r="C962" s="178">
        <v>0</v>
      </c>
      <c r="D962" s="178">
        <v>0</v>
      </c>
      <c r="E962" s="178">
        <v>0</v>
      </c>
      <c r="F962" s="178">
        <v>0</v>
      </c>
      <c r="G962" s="178">
        <v>0</v>
      </c>
      <c r="H962" s="178">
        <v>0</v>
      </c>
      <c r="I962" s="178">
        <v>0</v>
      </c>
      <c r="J962" s="178" t="s">
        <v>497</v>
      </c>
    </row>
    <row r="963" spans="1:10">
      <c r="A963" s="178">
        <v>700</v>
      </c>
      <c r="B963" s="178" t="s">
        <v>557</v>
      </c>
      <c r="C963" s="178">
        <v>0</v>
      </c>
      <c r="D963" s="178">
        <v>0</v>
      </c>
      <c r="E963" s="178">
        <v>0</v>
      </c>
      <c r="F963" s="178">
        <v>0</v>
      </c>
      <c r="G963" s="178">
        <v>0</v>
      </c>
      <c r="H963" s="178">
        <v>0</v>
      </c>
      <c r="I963" s="178">
        <v>0</v>
      </c>
      <c r="J963" s="178" t="s">
        <v>497</v>
      </c>
    </row>
    <row r="964" spans="1:10">
      <c r="A964" s="178">
        <v>710</v>
      </c>
      <c r="B964" s="178" t="s">
        <v>558</v>
      </c>
      <c r="C964" s="178">
        <v>0</v>
      </c>
      <c r="D964" s="178">
        <v>0</v>
      </c>
      <c r="E964" s="178">
        <v>0</v>
      </c>
      <c r="F964" s="178">
        <v>0</v>
      </c>
      <c r="G964" s="178">
        <v>0</v>
      </c>
      <c r="H964" s="178">
        <v>0</v>
      </c>
      <c r="I964" s="178">
        <v>0</v>
      </c>
      <c r="J964" s="178" t="s">
        <v>497</v>
      </c>
    </row>
    <row r="965" spans="1:10">
      <c r="A965" s="178">
        <v>720</v>
      </c>
      <c r="B965" s="178" t="s">
        <v>276</v>
      </c>
      <c r="C965" s="178">
        <v>90900</v>
      </c>
      <c r="D965" s="178">
        <v>0</v>
      </c>
      <c r="E965" s="178">
        <v>90900</v>
      </c>
      <c r="F965" s="178">
        <v>0</v>
      </c>
      <c r="G965" s="178">
        <v>0</v>
      </c>
      <c r="H965" s="178">
        <v>90900</v>
      </c>
      <c r="I965" s="178">
        <v>90900</v>
      </c>
      <c r="J965" s="178" t="s">
        <v>497</v>
      </c>
    </row>
    <row r="966" spans="1:10">
      <c r="A966" s="178">
        <v>730</v>
      </c>
      <c r="B966" s="178" t="s">
        <v>393</v>
      </c>
      <c r="C966" s="178">
        <v>0</v>
      </c>
      <c r="D966" s="178">
        <v>0</v>
      </c>
      <c r="E966" s="178">
        <v>0</v>
      </c>
      <c r="F966" s="178">
        <v>0</v>
      </c>
      <c r="G966" s="178">
        <v>0</v>
      </c>
      <c r="H966" s="178">
        <v>0</v>
      </c>
      <c r="I966" s="178">
        <v>0</v>
      </c>
      <c r="J966" s="178" t="s">
        <v>497</v>
      </c>
    </row>
    <row r="967" spans="1:10">
      <c r="A967" s="178">
        <v>740</v>
      </c>
      <c r="B967" s="178" t="s">
        <v>394</v>
      </c>
      <c r="C967" s="178">
        <v>93537899.48</v>
      </c>
      <c r="D967" s="178">
        <v>0</v>
      </c>
      <c r="E967" s="178">
        <v>93537899.48</v>
      </c>
      <c r="F967" s="178">
        <v>0</v>
      </c>
      <c r="G967" s="178">
        <v>0</v>
      </c>
      <c r="H967" s="178">
        <v>54393058.69</v>
      </c>
      <c r="I967" s="178">
        <v>93537899.48</v>
      </c>
      <c r="J967" s="178" t="s">
        <v>497</v>
      </c>
    </row>
    <row r="968" spans="1:10">
      <c r="A968" s="178">
        <v>750</v>
      </c>
      <c r="B968" s="178" t="s">
        <v>395</v>
      </c>
      <c r="C968" s="178">
        <v>2599634.63</v>
      </c>
      <c r="D968" s="178">
        <v>7583050</v>
      </c>
      <c r="E968" s="178">
        <v>-4983415.37</v>
      </c>
      <c r="F968" s="178">
        <v>2599634.63</v>
      </c>
      <c r="G968" s="178">
        <v>2599634.63</v>
      </c>
      <c r="H968" s="178">
        <v>39144840.79</v>
      </c>
      <c r="I968" s="178">
        <v>0</v>
      </c>
      <c r="J968" s="178" t="s">
        <v>497</v>
      </c>
    </row>
    <row r="969" spans="1:10">
      <c r="A969" s="178">
        <v>760</v>
      </c>
      <c r="B969" s="178" t="s">
        <v>396</v>
      </c>
      <c r="C969" s="178">
        <v>-1434547.8</v>
      </c>
      <c r="D969" s="178">
        <v>0</v>
      </c>
      <c r="E969" s="178">
        <v>-1434547.8</v>
      </c>
      <c r="F969" s="178">
        <v>0</v>
      </c>
      <c r="G969" s="178">
        <v>0</v>
      </c>
      <c r="H969" s="178">
        <v>-1434547.8</v>
      </c>
      <c r="I969" s="178">
        <v>-1434547.8</v>
      </c>
      <c r="J969" s="178" t="s">
        <v>497</v>
      </c>
    </row>
    <row r="970" spans="1:10">
      <c r="A970" s="178">
        <v>770</v>
      </c>
      <c r="B970" s="178" t="s">
        <v>397</v>
      </c>
      <c r="C970" s="178">
        <v>0</v>
      </c>
      <c r="D970" s="178">
        <v>0</v>
      </c>
      <c r="E970" s="178">
        <v>0</v>
      </c>
      <c r="F970" s="178">
        <v>0</v>
      </c>
      <c r="G970" s="178">
        <v>0</v>
      </c>
      <c r="H970" s="178">
        <v>0</v>
      </c>
      <c r="I970" s="178">
        <v>0</v>
      </c>
      <c r="J970" s="178" t="s">
        <v>497</v>
      </c>
    </row>
    <row r="971" spans="1:10">
      <c r="A971" s="178">
        <v>800</v>
      </c>
      <c r="B971" s="178" t="s">
        <v>398</v>
      </c>
      <c r="C971" s="178">
        <v>94793886.31</v>
      </c>
      <c r="D971" s="178">
        <v>7583050</v>
      </c>
      <c r="E971" s="178">
        <v>87210836.31</v>
      </c>
      <c r="F971" s="178">
        <v>2599634.63</v>
      </c>
      <c r="G971" s="178">
        <v>2599634.63</v>
      </c>
      <c r="H971" s="178">
        <v>92194251.68</v>
      </c>
      <c r="I971" s="178">
        <v>92194251.68</v>
      </c>
      <c r="J971" s="178" t="s">
        <v>497</v>
      </c>
    </row>
    <row r="972" spans="1:10">
      <c r="A972" s="178">
        <v>900</v>
      </c>
      <c r="B972" s="178" t="s">
        <v>399</v>
      </c>
      <c r="C972" s="178">
        <v>199866407.1</v>
      </c>
      <c r="D972" s="178">
        <v>7583050</v>
      </c>
      <c r="E972" s="178">
        <v>192283357.1</v>
      </c>
      <c r="F972" s="178">
        <v>-2636780.67</v>
      </c>
      <c r="G972" s="178">
        <v>-2636780.67</v>
      </c>
      <c r="H972" s="178">
        <v>202503187.77</v>
      </c>
      <c r="I972" s="178">
        <v>202503187.77</v>
      </c>
      <c r="J972" s="178" t="s">
        <v>497</v>
      </c>
    </row>
    <row r="973" spans="1:10">
      <c r="A973" s="178">
        <v>1000</v>
      </c>
      <c r="B973" s="178" t="s">
        <v>559</v>
      </c>
      <c r="C973" s="178">
        <v>0</v>
      </c>
      <c r="D973" s="178">
        <v>-7583050</v>
      </c>
      <c r="E973" s="178">
        <v>7583050</v>
      </c>
      <c r="F973" s="178">
        <v>0</v>
      </c>
      <c r="G973" s="178">
        <v>0</v>
      </c>
      <c r="H973" s="178">
        <v>0</v>
      </c>
      <c r="I973" s="178">
        <v>0</v>
      </c>
      <c r="J973" s="178" t="s">
        <v>497</v>
      </c>
    </row>
    <row r="974" spans="1:10">
      <c r="A974" s="178" t="s">
        <v>452</v>
      </c>
      <c r="B974" s="178" t="s">
        <v>402</v>
      </c>
      <c r="C974" s="178" t="s">
        <v>538</v>
      </c>
      <c r="D974" s="178" t="s">
        <v>539</v>
      </c>
      <c r="E974" s="178" t="s">
        <v>540</v>
      </c>
      <c r="F974" s="178" t="s">
        <v>541</v>
      </c>
      <c r="G974" s="178" t="s">
        <v>542</v>
      </c>
      <c r="H974" s="178" t="s">
        <v>543</v>
      </c>
      <c r="I974" s="178" t="s">
        <v>544</v>
      </c>
      <c r="J974" s="178" t="s">
        <v>405</v>
      </c>
    </row>
    <row r="975" spans="1:10">
      <c r="A975" s="178">
        <v>10</v>
      </c>
      <c r="B975" s="178" t="s">
        <v>545</v>
      </c>
      <c r="C975" s="178">
        <v>0</v>
      </c>
      <c r="D975" s="178">
        <v>0</v>
      </c>
      <c r="E975" s="178">
        <v>0</v>
      </c>
      <c r="F975" s="178">
        <v>0</v>
      </c>
      <c r="G975" s="178">
        <v>0</v>
      </c>
      <c r="H975" s="178">
        <v>0</v>
      </c>
      <c r="I975" s="178">
        <v>0</v>
      </c>
      <c r="J975" s="178" t="s">
        <v>497</v>
      </c>
    </row>
    <row r="976" spans="1:10">
      <c r="A976" s="178">
        <v>20</v>
      </c>
      <c r="B976" s="178" t="s">
        <v>359</v>
      </c>
      <c r="C976" s="178">
        <v>1496828.14</v>
      </c>
      <c r="D976" s="178">
        <v>0</v>
      </c>
      <c r="E976" s="178">
        <v>1496828.14</v>
      </c>
      <c r="F976" s="178">
        <v>29537.95</v>
      </c>
      <c r="G976" s="178">
        <v>29537.95</v>
      </c>
      <c r="H976" s="178">
        <v>1467290.19</v>
      </c>
      <c r="I976" s="178">
        <v>1467290.19</v>
      </c>
      <c r="J976" s="178" t="s">
        <v>497</v>
      </c>
    </row>
    <row r="977" spans="1:10">
      <c r="A977" s="178">
        <v>30</v>
      </c>
      <c r="B977" s="178" t="s">
        <v>360</v>
      </c>
      <c r="C977" s="178">
        <v>0</v>
      </c>
      <c r="D977" s="178">
        <v>0</v>
      </c>
      <c r="E977" s="178">
        <v>0</v>
      </c>
      <c r="F977" s="178">
        <v>0</v>
      </c>
      <c r="G977" s="178">
        <v>0</v>
      </c>
      <c r="H977" s="178">
        <v>0</v>
      </c>
      <c r="I977" s="178">
        <v>0</v>
      </c>
      <c r="J977" s="178" t="s">
        <v>497</v>
      </c>
    </row>
    <row r="978" spans="1:10">
      <c r="A978" s="178">
        <v>40</v>
      </c>
      <c r="B978" s="178" t="s">
        <v>266</v>
      </c>
      <c r="C978" s="178">
        <v>1845278.99</v>
      </c>
      <c r="D978" s="178">
        <v>0</v>
      </c>
      <c r="E978" s="178">
        <v>1845278.99</v>
      </c>
      <c r="F978" s="178">
        <v>265486.99</v>
      </c>
      <c r="G978" s="178">
        <v>265486.99</v>
      </c>
      <c r="H978" s="178">
        <v>1579792</v>
      </c>
      <c r="I978" s="178">
        <v>1579792</v>
      </c>
      <c r="J978" s="178" t="s">
        <v>497</v>
      </c>
    </row>
    <row r="979" spans="1:10">
      <c r="A979" s="178">
        <v>50</v>
      </c>
      <c r="B979" s="178" t="s">
        <v>267</v>
      </c>
      <c r="C979" s="178">
        <v>12441123.9</v>
      </c>
      <c r="D979" s="178">
        <v>0</v>
      </c>
      <c r="E979" s="178">
        <v>12441123.9</v>
      </c>
      <c r="F979" s="178">
        <v>1435682.43</v>
      </c>
      <c r="G979" s="178">
        <v>1435682.43</v>
      </c>
      <c r="H979" s="178">
        <v>11005441.47</v>
      </c>
      <c r="I979" s="178">
        <v>11005441.47</v>
      </c>
      <c r="J979" s="178" t="s">
        <v>497</v>
      </c>
    </row>
    <row r="980" spans="1:10">
      <c r="A980" s="178">
        <v>60</v>
      </c>
      <c r="B980" s="178" t="s">
        <v>268</v>
      </c>
      <c r="C980" s="178">
        <v>862036.23</v>
      </c>
      <c r="D980" s="178">
        <v>0</v>
      </c>
      <c r="E980" s="178">
        <v>862036.23</v>
      </c>
      <c r="F980" s="178">
        <v>567109.76</v>
      </c>
      <c r="G980" s="178">
        <v>567109.76</v>
      </c>
      <c r="H980" s="178">
        <v>294926.47</v>
      </c>
      <c r="I980" s="178">
        <v>294926.47</v>
      </c>
      <c r="J980" s="178" t="s">
        <v>497</v>
      </c>
    </row>
    <row r="981" spans="1:10">
      <c r="A981" s="178">
        <v>70</v>
      </c>
      <c r="B981" s="178" t="s">
        <v>269</v>
      </c>
      <c r="C981" s="178">
        <v>-314051.67</v>
      </c>
      <c r="D981" s="178">
        <v>0</v>
      </c>
      <c r="E981" s="178">
        <v>-314051.67</v>
      </c>
      <c r="F981" s="178">
        <v>6418.64</v>
      </c>
      <c r="G981" s="178">
        <v>6418.64</v>
      </c>
      <c r="H981" s="178">
        <v>-320470.31</v>
      </c>
      <c r="I981" s="178">
        <v>-320470.31</v>
      </c>
      <c r="J981" s="178" t="s">
        <v>497</v>
      </c>
    </row>
    <row r="982" spans="1:10">
      <c r="A982" s="178">
        <v>80</v>
      </c>
      <c r="B982" s="178" t="s">
        <v>560</v>
      </c>
      <c r="C982" s="178">
        <v>27512143.31</v>
      </c>
      <c r="D982" s="178">
        <v>0</v>
      </c>
      <c r="E982" s="178">
        <v>27512143.31</v>
      </c>
      <c r="F982" s="178">
        <v>17918291.75</v>
      </c>
      <c r="G982" s="178">
        <v>17918291.75</v>
      </c>
      <c r="H982" s="178">
        <v>9593851.56</v>
      </c>
      <c r="I982" s="178">
        <v>9593851.56</v>
      </c>
      <c r="J982" s="178" t="s">
        <v>497</v>
      </c>
    </row>
    <row r="983" spans="1:10">
      <c r="A983" s="178">
        <v>100</v>
      </c>
      <c r="B983" s="178" t="s">
        <v>547</v>
      </c>
      <c r="C983" s="178">
        <v>43843358.9</v>
      </c>
      <c r="D983" s="178">
        <v>0</v>
      </c>
      <c r="E983" s="178">
        <v>43843358.9</v>
      </c>
      <c r="F983" s="178">
        <v>20222527.52</v>
      </c>
      <c r="G983" s="178">
        <v>20222527.52</v>
      </c>
      <c r="H983" s="178">
        <v>23620831.38</v>
      </c>
      <c r="I983" s="178">
        <v>23620831.38</v>
      </c>
      <c r="J983" s="178" t="s">
        <v>497</v>
      </c>
    </row>
    <row r="984" spans="1:10">
      <c r="A984" s="178">
        <v>110</v>
      </c>
      <c r="B984" s="178" t="s">
        <v>548</v>
      </c>
      <c r="C984" s="178">
        <v>0</v>
      </c>
      <c r="D984" s="178">
        <v>0</v>
      </c>
      <c r="E984" s="178">
        <v>0</v>
      </c>
      <c r="F984" s="178">
        <v>0</v>
      </c>
      <c r="G984" s="178">
        <v>0</v>
      </c>
      <c r="H984" s="178">
        <v>0</v>
      </c>
      <c r="I984" s="178">
        <v>0</v>
      </c>
      <c r="J984" s="178" t="s">
        <v>497</v>
      </c>
    </row>
    <row r="985" spans="1:10">
      <c r="A985" s="178">
        <v>120</v>
      </c>
      <c r="B985" s="178" t="s">
        <v>322</v>
      </c>
      <c r="C985" s="178">
        <v>10000</v>
      </c>
      <c r="D985" s="178">
        <v>0</v>
      </c>
      <c r="E985" s="178">
        <v>10000</v>
      </c>
      <c r="F985" s="178">
        <v>0</v>
      </c>
      <c r="G985" s="178">
        <v>0</v>
      </c>
      <c r="H985" s="178">
        <v>10000</v>
      </c>
      <c r="I985" s="178">
        <v>10000</v>
      </c>
      <c r="J985" s="178" t="s">
        <v>497</v>
      </c>
    </row>
    <row r="986" spans="1:10">
      <c r="A986" s="178">
        <v>130</v>
      </c>
      <c r="B986" s="178" t="s">
        <v>282</v>
      </c>
      <c r="C986" s="178">
        <v>8493350.32</v>
      </c>
      <c r="D986" s="178">
        <v>0</v>
      </c>
      <c r="E986" s="178">
        <v>8493350.32</v>
      </c>
      <c r="F986" s="178">
        <v>6500000</v>
      </c>
      <c r="G986" s="178">
        <v>6500000</v>
      </c>
      <c r="H986" s="178">
        <v>1993350.32</v>
      </c>
      <c r="I986" s="178">
        <v>1993350.32</v>
      </c>
      <c r="J986" s="178" t="s">
        <v>497</v>
      </c>
    </row>
    <row r="987" spans="1:10">
      <c r="A987" s="178">
        <v>140</v>
      </c>
      <c r="B987" s="178" t="s">
        <v>364</v>
      </c>
      <c r="C987" s="178">
        <v>1667628.58</v>
      </c>
      <c r="D987" s="178">
        <v>0</v>
      </c>
      <c r="E987" s="178">
        <v>1667628.58</v>
      </c>
      <c r="F987" s="178">
        <v>1480000</v>
      </c>
      <c r="G987" s="178">
        <v>1480000</v>
      </c>
      <c r="H987" s="178">
        <v>187628.58</v>
      </c>
      <c r="I987" s="178">
        <v>187628.58</v>
      </c>
      <c r="J987" s="178" t="s">
        <v>497</v>
      </c>
    </row>
    <row r="988" spans="1:10">
      <c r="A988" s="178">
        <v>150</v>
      </c>
      <c r="B988" s="178" t="s">
        <v>285</v>
      </c>
      <c r="C988" s="178">
        <v>6996238.25</v>
      </c>
      <c r="D988" s="178">
        <v>0</v>
      </c>
      <c r="E988" s="178">
        <v>6996238.25</v>
      </c>
      <c r="F988" s="178">
        <v>6920000</v>
      </c>
      <c r="G988" s="178">
        <v>6920000</v>
      </c>
      <c r="H988" s="178">
        <v>76238.25</v>
      </c>
      <c r="I988" s="178">
        <v>76238.25</v>
      </c>
      <c r="J988" s="178" t="s">
        <v>497</v>
      </c>
    </row>
    <row r="989" spans="1:10">
      <c r="A989" s="178">
        <v>160</v>
      </c>
      <c r="B989" s="178" t="s">
        <v>284</v>
      </c>
      <c r="C989" s="178">
        <v>26728550.53</v>
      </c>
      <c r="D989" s="178">
        <v>0</v>
      </c>
      <c r="E989" s="178">
        <v>26728550.53</v>
      </c>
      <c r="F989" s="178">
        <v>-137201.72</v>
      </c>
      <c r="G989" s="178">
        <v>-137201.72</v>
      </c>
      <c r="H989" s="178">
        <v>26865752.25</v>
      </c>
      <c r="I989" s="178">
        <v>26865752.25</v>
      </c>
      <c r="J989" s="178" t="s">
        <v>497</v>
      </c>
    </row>
    <row r="990" spans="1:10">
      <c r="A990" s="178">
        <v>170</v>
      </c>
      <c r="B990" s="178" t="s">
        <v>283</v>
      </c>
      <c r="C990" s="178">
        <v>17622987.57</v>
      </c>
      <c r="D990" s="178">
        <v>0</v>
      </c>
      <c r="E990" s="178">
        <v>17622987.57</v>
      </c>
      <c r="F990" s="178">
        <v>14012076.31</v>
      </c>
      <c r="G990" s="178">
        <v>14012076.31</v>
      </c>
      <c r="H990" s="178">
        <v>3610911.26</v>
      </c>
      <c r="I990" s="178">
        <v>3610911.26</v>
      </c>
      <c r="J990" s="178" t="s">
        <v>497</v>
      </c>
    </row>
    <row r="991" spans="1:10">
      <c r="A991" s="178">
        <v>180</v>
      </c>
      <c r="B991" s="178" t="s">
        <v>366</v>
      </c>
      <c r="C991" s="178">
        <v>0</v>
      </c>
      <c r="D991" s="178">
        <v>0</v>
      </c>
      <c r="E991" s="178">
        <v>0</v>
      </c>
      <c r="F991" s="178">
        <v>0</v>
      </c>
      <c r="G991" s="178">
        <v>0</v>
      </c>
      <c r="H991" s="178">
        <v>0</v>
      </c>
      <c r="I991" s="178">
        <v>0</v>
      </c>
      <c r="J991" s="178" t="s">
        <v>497</v>
      </c>
    </row>
    <row r="992" spans="1:10">
      <c r="A992" s="178">
        <v>190</v>
      </c>
      <c r="B992" s="178" t="s">
        <v>367</v>
      </c>
      <c r="C992" s="178">
        <v>-27518819.42</v>
      </c>
      <c r="D992" s="178">
        <v>0</v>
      </c>
      <c r="E992" s="178">
        <v>-27518819.42</v>
      </c>
      <c r="F992" s="178">
        <v>-150673.94</v>
      </c>
      <c r="G992" s="178">
        <v>-150673.94</v>
      </c>
      <c r="H992" s="178">
        <v>-27368145.48</v>
      </c>
      <c r="I992" s="178">
        <v>-27368145.48</v>
      </c>
      <c r="J992" s="178" t="s">
        <v>497</v>
      </c>
    </row>
    <row r="993" spans="1:10">
      <c r="A993" s="178">
        <v>200</v>
      </c>
      <c r="B993" s="178" t="s">
        <v>368</v>
      </c>
      <c r="C993" s="178">
        <v>33999935.83</v>
      </c>
      <c r="D993" s="178">
        <v>0</v>
      </c>
      <c r="E993" s="178">
        <v>33999935.83</v>
      </c>
      <c r="F993" s="178">
        <v>28624200.65</v>
      </c>
      <c r="G993" s="178">
        <v>28624200.65</v>
      </c>
      <c r="H993" s="178">
        <v>5375735.18</v>
      </c>
      <c r="I993" s="178">
        <v>5375735.18</v>
      </c>
      <c r="J993" s="178" t="s">
        <v>497</v>
      </c>
    </row>
    <row r="994" spans="1:10">
      <c r="A994" s="178">
        <v>210</v>
      </c>
      <c r="B994" s="178" t="s">
        <v>549</v>
      </c>
      <c r="C994" s="178">
        <v>0</v>
      </c>
      <c r="D994" s="178">
        <v>0</v>
      </c>
      <c r="E994" s="178">
        <v>0</v>
      </c>
      <c r="F994" s="178">
        <v>0</v>
      </c>
      <c r="G994" s="178">
        <v>0</v>
      </c>
      <c r="H994" s="178">
        <v>0</v>
      </c>
      <c r="I994" s="178">
        <v>0</v>
      </c>
      <c r="J994" s="178" t="s">
        <v>497</v>
      </c>
    </row>
    <row r="995" spans="1:10">
      <c r="A995" s="178">
        <v>220</v>
      </c>
      <c r="B995" s="178" t="s">
        <v>370</v>
      </c>
      <c r="C995" s="178">
        <v>0</v>
      </c>
      <c r="D995" s="178">
        <v>0</v>
      </c>
      <c r="E995" s="178">
        <v>0</v>
      </c>
      <c r="F995" s="178">
        <v>0</v>
      </c>
      <c r="G995" s="178">
        <v>0</v>
      </c>
      <c r="H995" s="178">
        <v>0</v>
      </c>
      <c r="I995" s="178">
        <v>0</v>
      </c>
      <c r="J995" s="178" t="s">
        <v>497</v>
      </c>
    </row>
    <row r="996" spans="1:10">
      <c r="A996" s="178">
        <v>230</v>
      </c>
      <c r="B996" s="178" t="s">
        <v>371</v>
      </c>
      <c r="C996" s="178">
        <v>0</v>
      </c>
      <c r="D996" s="178">
        <v>0</v>
      </c>
      <c r="E996" s="178">
        <v>0</v>
      </c>
      <c r="F996" s="178">
        <v>0</v>
      </c>
      <c r="G996" s="178">
        <v>0</v>
      </c>
      <c r="H996" s="178">
        <v>0</v>
      </c>
      <c r="I996" s="178">
        <v>0</v>
      </c>
      <c r="J996" s="178" t="s">
        <v>497</v>
      </c>
    </row>
    <row r="997" spans="1:10">
      <c r="A997" s="178">
        <v>240</v>
      </c>
      <c r="B997" s="178" t="s">
        <v>372</v>
      </c>
      <c r="C997" s="178">
        <v>0</v>
      </c>
      <c r="D997" s="178">
        <v>0</v>
      </c>
      <c r="E997" s="178">
        <v>0</v>
      </c>
      <c r="F997" s="178">
        <v>0</v>
      </c>
      <c r="G997" s="178">
        <v>0</v>
      </c>
      <c r="H997" s="178">
        <v>0</v>
      </c>
      <c r="I997" s="178">
        <v>0</v>
      </c>
      <c r="J997" s="178" t="s">
        <v>497</v>
      </c>
    </row>
    <row r="998" spans="1:10">
      <c r="A998" s="178">
        <v>250</v>
      </c>
      <c r="B998" s="178" t="s">
        <v>373</v>
      </c>
      <c r="C998" s="178">
        <v>0</v>
      </c>
      <c r="D998" s="178">
        <v>0</v>
      </c>
      <c r="E998" s="178">
        <v>0</v>
      </c>
      <c r="F998" s="178">
        <v>0</v>
      </c>
      <c r="G998" s="178">
        <v>0</v>
      </c>
      <c r="H998" s="178">
        <v>0</v>
      </c>
      <c r="I998" s="178">
        <v>0</v>
      </c>
      <c r="J998" s="178" t="s">
        <v>497</v>
      </c>
    </row>
    <row r="999" spans="1:10">
      <c r="A999" s="178">
        <v>260</v>
      </c>
      <c r="B999" s="178" t="s">
        <v>374</v>
      </c>
      <c r="C999" s="178">
        <v>0</v>
      </c>
      <c r="D999" s="178">
        <v>0</v>
      </c>
      <c r="E999" s="178">
        <v>0</v>
      </c>
      <c r="F999" s="178">
        <v>0</v>
      </c>
      <c r="G999" s="178">
        <v>0</v>
      </c>
      <c r="H999" s="178">
        <v>0</v>
      </c>
      <c r="I999" s="178">
        <v>0</v>
      </c>
      <c r="J999" s="178" t="s">
        <v>497</v>
      </c>
    </row>
    <row r="1000" spans="1:10">
      <c r="A1000" s="178">
        <v>270</v>
      </c>
      <c r="B1000" s="178" t="s">
        <v>375</v>
      </c>
      <c r="C1000" s="178">
        <v>83614811</v>
      </c>
      <c r="D1000" s="178">
        <v>0</v>
      </c>
      <c r="E1000" s="178">
        <v>83614811</v>
      </c>
      <c r="F1000" s="178">
        <v>83614811</v>
      </c>
      <c r="G1000" s="178">
        <v>83614811</v>
      </c>
      <c r="H1000" s="178">
        <v>0</v>
      </c>
      <c r="I1000" s="178">
        <v>0</v>
      </c>
      <c r="J1000" s="178" t="s">
        <v>497</v>
      </c>
    </row>
    <row r="1001" spans="1:10">
      <c r="A1001" s="178">
        <v>280</v>
      </c>
      <c r="B1001" s="178" t="s">
        <v>550</v>
      </c>
      <c r="C1001" s="178">
        <v>83614811</v>
      </c>
      <c r="D1001" s="178">
        <v>0</v>
      </c>
      <c r="E1001" s="178">
        <v>83614811</v>
      </c>
      <c r="F1001" s="178">
        <v>83614811</v>
      </c>
      <c r="G1001" s="178">
        <v>83614811</v>
      </c>
      <c r="H1001" s="178">
        <v>0</v>
      </c>
      <c r="I1001" s="178">
        <v>0</v>
      </c>
      <c r="J1001" s="178" t="s">
        <v>497</v>
      </c>
    </row>
    <row r="1002" spans="1:10">
      <c r="A1002" s="178">
        <v>400</v>
      </c>
      <c r="B1002" s="178" t="s">
        <v>377</v>
      </c>
      <c r="C1002" s="178">
        <v>161458105.73</v>
      </c>
      <c r="D1002" s="178">
        <v>0</v>
      </c>
      <c r="E1002" s="178">
        <v>161458105.73</v>
      </c>
      <c r="F1002" s="178">
        <v>132461539.17</v>
      </c>
      <c r="G1002" s="178">
        <v>132461539.17</v>
      </c>
      <c r="H1002" s="178">
        <v>28996566.56</v>
      </c>
      <c r="I1002" s="178">
        <v>28996566.56</v>
      </c>
      <c r="J1002" s="178" t="s">
        <v>497</v>
      </c>
    </row>
    <row r="1003" spans="1:10">
      <c r="A1003" s="178">
        <v>410</v>
      </c>
      <c r="B1003" s="178" t="s">
        <v>551</v>
      </c>
      <c r="C1003" s="178">
        <v>0</v>
      </c>
      <c r="D1003" s="178">
        <v>0</v>
      </c>
      <c r="E1003" s="178">
        <v>0</v>
      </c>
      <c r="F1003" s="178">
        <v>0</v>
      </c>
      <c r="G1003" s="178">
        <v>0</v>
      </c>
      <c r="H1003" s="178">
        <v>0</v>
      </c>
      <c r="I1003" s="178">
        <v>0</v>
      </c>
      <c r="J1003" s="178" t="s">
        <v>497</v>
      </c>
    </row>
    <row r="1004" spans="1:10">
      <c r="A1004" s="178">
        <v>420</v>
      </c>
      <c r="B1004" s="178" t="s">
        <v>270</v>
      </c>
      <c r="C1004" s="178">
        <v>661275.11</v>
      </c>
      <c r="D1004" s="178">
        <v>0</v>
      </c>
      <c r="E1004" s="178">
        <v>661275.11</v>
      </c>
      <c r="F1004" s="178">
        <v>418665.86</v>
      </c>
      <c r="G1004" s="178">
        <v>418665.86</v>
      </c>
      <c r="H1004" s="178">
        <v>242609.25</v>
      </c>
      <c r="I1004" s="178">
        <v>242609.25</v>
      </c>
      <c r="J1004" s="178" t="s">
        <v>497</v>
      </c>
    </row>
    <row r="1005" spans="1:10">
      <c r="A1005" s="178">
        <v>430</v>
      </c>
      <c r="B1005" s="178" t="s">
        <v>379</v>
      </c>
      <c r="C1005" s="178">
        <v>136614378.43</v>
      </c>
      <c r="D1005" s="178">
        <v>0</v>
      </c>
      <c r="E1005" s="178">
        <v>136614378.43</v>
      </c>
      <c r="F1005" s="178">
        <v>131825014.73</v>
      </c>
      <c r="G1005" s="178">
        <v>131825014.73</v>
      </c>
      <c r="H1005" s="178">
        <v>4789363.7</v>
      </c>
      <c r="I1005" s="178">
        <v>4789363.7</v>
      </c>
      <c r="J1005" s="178" t="s">
        <v>497</v>
      </c>
    </row>
    <row r="1006" spans="1:10">
      <c r="A1006" s="178">
        <v>440</v>
      </c>
      <c r="B1006" s="178" t="s">
        <v>380</v>
      </c>
      <c r="C1006" s="178">
        <v>36467.25</v>
      </c>
      <c r="D1006" s="178">
        <v>0</v>
      </c>
      <c r="E1006" s="178">
        <v>36467.25</v>
      </c>
      <c r="F1006" s="178">
        <v>17457</v>
      </c>
      <c r="G1006" s="178">
        <v>17457</v>
      </c>
      <c r="H1006" s="178">
        <v>19010.25</v>
      </c>
      <c r="I1006" s="178">
        <v>19010.25</v>
      </c>
      <c r="J1006" s="178" t="s">
        <v>497</v>
      </c>
    </row>
    <row r="1007" spans="1:10">
      <c r="A1007" s="178">
        <v>450</v>
      </c>
      <c r="B1007" s="178" t="s">
        <v>381</v>
      </c>
      <c r="C1007" s="178">
        <v>2795342.48</v>
      </c>
      <c r="D1007" s="178">
        <v>0</v>
      </c>
      <c r="E1007" s="178">
        <v>2795342.48</v>
      </c>
      <c r="F1007" s="178">
        <v>-157995.09</v>
      </c>
      <c r="G1007" s="178">
        <v>-157995.09</v>
      </c>
      <c r="H1007" s="178">
        <v>2953337.57</v>
      </c>
      <c r="I1007" s="178">
        <v>2953337.57</v>
      </c>
      <c r="J1007" s="178" t="s">
        <v>497</v>
      </c>
    </row>
    <row r="1008" spans="1:10">
      <c r="A1008" s="178">
        <v>460</v>
      </c>
      <c r="B1008" s="178" t="s">
        <v>561</v>
      </c>
      <c r="C1008" s="178">
        <v>0</v>
      </c>
      <c r="D1008" s="178">
        <v>0</v>
      </c>
      <c r="E1008" s="178">
        <v>0</v>
      </c>
      <c r="F1008" s="178">
        <v>0</v>
      </c>
      <c r="G1008" s="178">
        <v>0</v>
      </c>
      <c r="H1008" s="178">
        <v>0</v>
      </c>
      <c r="I1008" s="178">
        <v>0</v>
      </c>
      <c r="J1008" s="178" t="s">
        <v>497</v>
      </c>
    </row>
    <row r="1009" spans="1:10">
      <c r="A1009" s="178">
        <v>500</v>
      </c>
      <c r="B1009" s="178" t="s">
        <v>383</v>
      </c>
      <c r="C1009" s="178">
        <v>140107463.27</v>
      </c>
      <c r="D1009" s="178">
        <v>0</v>
      </c>
      <c r="E1009" s="178">
        <v>140107463.27</v>
      </c>
      <c r="F1009" s="178">
        <v>132103142.5</v>
      </c>
      <c r="G1009" s="178">
        <v>132103142.5</v>
      </c>
      <c r="H1009" s="178">
        <v>8004320.77</v>
      </c>
      <c r="I1009" s="178">
        <v>8004320.77</v>
      </c>
      <c r="J1009" s="178" t="s">
        <v>497</v>
      </c>
    </row>
    <row r="1010" spans="1:10">
      <c r="A1010" s="178">
        <v>510</v>
      </c>
      <c r="B1010" s="178" t="s">
        <v>554</v>
      </c>
      <c r="C1010" s="178">
        <v>0</v>
      </c>
      <c r="D1010" s="178">
        <v>0</v>
      </c>
      <c r="E1010" s="178">
        <v>0</v>
      </c>
      <c r="F1010" s="178">
        <v>0</v>
      </c>
      <c r="G1010" s="178">
        <v>0</v>
      </c>
      <c r="H1010" s="178">
        <v>0</v>
      </c>
      <c r="I1010" s="178">
        <v>0</v>
      </c>
      <c r="J1010" s="178" t="s">
        <v>497</v>
      </c>
    </row>
    <row r="1011" spans="1:10">
      <c r="A1011" s="178">
        <v>520</v>
      </c>
      <c r="B1011" s="178" t="s">
        <v>385</v>
      </c>
      <c r="C1011" s="178">
        <v>0</v>
      </c>
      <c r="D1011" s="178">
        <v>0</v>
      </c>
      <c r="E1011" s="178">
        <v>0</v>
      </c>
      <c r="F1011" s="178">
        <v>0</v>
      </c>
      <c r="G1011" s="178">
        <v>0</v>
      </c>
      <c r="H1011" s="178">
        <v>0</v>
      </c>
      <c r="I1011" s="178">
        <v>0</v>
      </c>
      <c r="J1011" s="178" t="s">
        <v>497</v>
      </c>
    </row>
    <row r="1012" spans="1:10">
      <c r="A1012" s="178">
        <v>530</v>
      </c>
      <c r="B1012" s="178" t="s">
        <v>386</v>
      </c>
      <c r="C1012" s="178">
        <v>0</v>
      </c>
      <c r="D1012" s="178">
        <v>0</v>
      </c>
      <c r="E1012" s="178">
        <v>0</v>
      </c>
      <c r="F1012" s="178">
        <v>0</v>
      </c>
      <c r="G1012" s="178">
        <v>0</v>
      </c>
      <c r="H1012" s="178">
        <v>0</v>
      </c>
      <c r="I1012" s="178">
        <v>0</v>
      </c>
      <c r="J1012" s="178" t="s">
        <v>497</v>
      </c>
    </row>
    <row r="1013" spans="1:10">
      <c r="A1013" s="178">
        <v>540</v>
      </c>
      <c r="B1013" s="178" t="s">
        <v>387</v>
      </c>
      <c r="C1013" s="178">
        <v>0</v>
      </c>
      <c r="D1013" s="178">
        <v>0</v>
      </c>
      <c r="E1013" s="178">
        <v>0</v>
      </c>
      <c r="F1013" s="178">
        <v>0</v>
      </c>
      <c r="G1013" s="178">
        <v>0</v>
      </c>
      <c r="H1013" s="178">
        <v>0</v>
      </c>
      <c r="I1013" s="178">
        <v>0</v>
      </c>
      <c r="J1013" s="178" t="s">
        <v>497</v>
      </c>
    </row>
    <row r="1014" spans="1:10">
      <c r="A1014" s="178">
        <v>600</v>
      </c>
      <c r="B1014" s="178" t="s">
        <v>388</v>
      </c>
      <c r="C1014" s="178">
        <v>0</v>
      </c>
      <c r="D1014" s="178">
        <v>0</v>
      </c>
      <c r="E1014" s="178">
        <v>0</v>
      </c>
      <c r="F1014" s="178">
        <v>0</v>
      </c>
      <c r="G1014" s="178">
        <v>0</v>
      </c>
      <c r="H1014" s="178">
        <v>0</v>
      </c>
      <c r="I1014" s="178">
        <v>0</v>
      </c>
      <c r="J1014" s="178" t="s">
        <v>497</v>
      </c>
    </row>
    <row r="1015" spans="1:10">
      <c r="A1015" s="178">
        <v>610</v>
      </c>
      <c r="B1015" s="178" t="s">
        <v>556</v>
      </c>
      <c r="C1015" s="178">
        <v>0</v>
      </c>
      <c r="D1015" s="178">
        <v>0</v>
      </c>
      <c r="E1015" s="178">
        <v>0</v>
      </c>
      <c r="F1015" s="178">
        <v>0</v>
      </c>
      <c r="G1015" s="178">
        <v>0</v>
      </c>
      <c r="H1015" s="178">
        <v>0</v>
      </c>
      <c r="I1015" s="178">
        <v>0</v>
      </c>
      <c r="J1015" s="178" t="s">
        <v>497</v>
      </c>
    </row>
    <row r="1016" spans="1:10">
      <c r="A1016" s="178">
        <v>620</v>
      </c>
      <c r="B1016" s="178" t="s">
        <v>390</v>
      </c>
      <c r="C1016" s="178">
        <v>0</v>
      </c>
      <c r="D1016" s="178">
        <v>0</v>
      </c>
      <c r="E1016" s="178">
        <v>0</v>
      </c>
      <c r="F1016" s="178">
        <v>0</v>
      </c>
      <c r="G1016" s="178">
        <v>0</v>
      </c>
      <c r="H1016" s="178">
        <v>0</v>
      </c>
      <c r="I1016" s="178">
        <v>0</v>
      </c>
      <c r="J1016" s="178" t="s">
        <v>497</v>
      </c>
    </row>
    <row r="1017" spans="1:10">
      <c r="A1017" s="178">
        <v>700</v>
      </c>
      <c r="B1017" s="178" t="s">
        <v>557</v>
      </c>
      <c r="C1017" s="178">
        <v>0</v>
      </c>
      <c r="D1017" s="178">
        <v>0</v>
      </c>
      <c r="E1017" s="178">
        <v>0</v>
      </c>
      <c r="F1017" s="178">
        <v>0</v>
      </c>
      <c r="G1017" s="178">
        <v>0</v>
      </c>
      <c r="H1017" s="178">
        <v>0</v>
      </c>
      <c r="I1017" s="178">
        <v>0</v>
      </c>
      <c r="J1017" s="178" t="s">
        <v>497</v>
      </c>
    </row>
    <row r="1018" spans="1:10">
      <c r="A1018" s="178">
        <v>710</v>
      </c>
      <c r="B1018" s="178" t="s">
        <v>558</v>
      </c>
      <c r="C1018" s="178">
        <v>0</v>
      </c>
      <c r="D1018" s="178">
        <v>0</v>
      </c>
      <c r="E1018" s="178">
        <v>0</v>
      </c>
      <c r="F1018" s="178">
        <v>0</v>
      </c>
      <c r="G1018" s="178">
        <v>0</v>
      </c>
      <c r="H1018" s="178">
        <v>0</v>
      </c>
      <c r="I1018" s="178">
        <v>0</v>
      </c>
      <c r="J1018" s="178" t="s">
        <v>497</v>
      </c>
    </row>
    <row r="1019" spans="1:10">
      <c r="A1019" s="178">
        <v>720</v>
      </c>
      <c r="B1019" s="178" t="s">
        <v>276</v>
      </c>
      <c r="C1019" s="178">
        <v>22380000</v>
      </c>
      <c r="D1019" s="178">
        <v>0</v>
      </c>
      <c r="E1019" s="178">
        <v>22380000</v>
      </c>
      <c r="F1019" s="178">
        <v>0</v>
      </c>
      <c r="G1019" s="178">
        <v>0</v>
      </c>
      <c r="H1019" s="178">
        <v>22380000</v>
      </c>
      <c r="I1019" s="178">
        <v>22380000</v>
      </c>
      <c r="J1019" s="178" t="s">
        <v>497</v>
      </c>
    </row>
    <row r="1020" spans="1:10">
      <c r="A1020" s="178">
        <v>730</v>
      </c>
      <c r="B1020" s="178" t="s">
        <v>393</v>
      </c>
      <c r="C1020" s="178">
        <v>100000</v>
      </c>
      <c r="D1020" s="178">
        <v>0</v>
      </c>
      <c r="E1020" s="178">
        <v>100000</v>
      </c>
      <c r="F1020" s="178">
        <v>0</v>
      </c>
      <c r="G1020" s="178">
        <v>0</v>
      </c>
      <c r="H1020" s="178">
        <v>100000</v>
      </c>
      <c r="I1020" s="178">
        <v>100000</v>
      </c>
      <c r="J1020" s="178" t="s">
        <v>497</v>
      </c>
    </row>
    <row r="1021" spans="1:10">
      <c r="A1021" s="178">
        <v>740</v>
      </c>
      <c r="B1021" s="178" t="s">
        <v>394</v>
      </c>
      <c r="C1021" s="178">
        <v>-1079254.21</v>
      </c>
      <c r="D1021" s="178">
        <v>0</v>
      </c>
      <c r="E1021" s="178">
        <v>-1079254.21</v>
      </c>
      <c r="F1021" s="178">
        <v>0</v>
      </c>
      <c r="G1021" s="178">
        <v>0</v>
      </c>
      <c r="H1021" s="178">
        <v>-5966077.05</v>
      </c>
      <c r="I1021" s="178">
        <v>-1079254.21</v>
      </c>
      <c r="J1021" s="178" t="s">
        <v>497</v>
      </c>
    </row>
    <row r="1022" spans="1:10">
      <c r="A1022" s="178">
        <v>750</v>
      </c>
      <c r="B1022" s="178" t="s">
        <v>395</v>
      </c>
      <c r="C1022" s="178">
        <v>358396.67</v>
      </c>
      <c r="D1022" s="178">
        <v>0</v>
      </c>
      <c r="E1022" s="178">
        <v>358396.67</v>
      </c>
      <c r="F1022" s="178">
        <v>358396.67</v>
      </c>
      <c r="G1022" s="178">
        <v>358396.67</v>
      </c>
      <c r="H1022" s="178">
        <v>4886822.84</v>
      </c>
      <c r="I1022" s="178">
        <v>0</v>
      </c>
      <c r="J1022" s="178" t="s">
        <v>497</v>
      </c>
    </row>
    <row r="1023" spans="1:10">
      <c r="A1023" s="178">
        <v>760</v>
      </c>
      <c r="B1023" s="178" t="s">
        <v>396</v>
      </c>
      <c r="C1023" s="178">
        <v>-408500</v>
      </c>
      <c r="D1023" s="178">
        <v>0</v>
      </c>
      <c r="E1023" s="178">
        <v>-408500</v>
      </c>
      <c r="F1023" s="178">
        <v>0</v>
      </c>
      <c r="G1023" s="178">
        <v>0</v>
      </c>
      <c r="H1023" s="178">
        <v>-408500</v>
      </c>
      <c r="I1023" s="178">
        <v>-408500</v>
      </c>
      <c r="J1023" s="178" t="s">
        <v>497</v>
      </c>
    </row>
    <row r="1024" spans="1:10">
      <c r="A1024" s="178">
        <v>770</v>
      </c>
      <c r="B1024" s="178" t="s">
        <v>397</v>
      </c>
      <c r="C1024" s="178">
        <v>0</v>
      </c>
      <c r="D1024" s="178">
        <v>0</v>
      </c>
      <c r="E1024" s="178">
        <v>0</v>
      </c>
      <c r="F1024" s="178">
        <v>0</v>
      </c>
      <c r="G1024" s="178">
        <v>0</v>
      </c>
      <c r="H1024" s="178">
        <v>0</v>
      </c>
      <c r="I1024" s="178">
        <v>0</v>
      </c>
      <c r="J1024" s="178" t="s">
        <v>497</v>
      </c>
    </row>
    <row r="1025" spans="1:10">
      <c r="A1025" s="178">
        <v>800</v>
      </c>
      <c r="B1025" s="178" t="s">
        <v>398</v>
      </c>
      <c r="C1025" s="178">
        <v>21350642.46</v>
      </c>
      <c r="D1025" s="178">
        <v>0</v>
      </c>
      <c r="E1025" s="178">
        <v>21350642.46</v>
      </c>
      <c r="F1025" s="178">
        <v>358396.67</v>
      </c>
      <c r="G1025" s="178">
        <v>358396.67</v>
      </c>
      <c r="H1025" s="178">
        <v>20992245.79</v>
      </c>
      <c r="I1025" s="178">
        <v>20992245.79</v>
      </c>
      <c r="J1025" s="178" t="s">
        <v>497</v>
      </c>
    </row>
    <row r="1026" spans="1:10">
      <c r="A1026" s="178">
        <v>900</v>
      </c>
      <c r="B1026" s="178" t="s">
        <v>399</v>
      </c>
      <c r="C1026" s="178">
        <v>161458105.73</v>
      </c>
      <c r="D1026" s="178">
        <v>0</v>
      </c>
      <c r="E1026" s="178">
        <v>161458105.73</v>
      </c>
      <c r="F1026" s="178">
        <v>132461539.17</v>
      </c>
      <c r="G1026" s="178">
        <v>132461539.17</v>
      </c>
      <c r="H1026" s="178">
        <v>28996566.56</v>
      </c>
      <c r="I1026" s="178">
        <v>28996566.56</v>
      </c>
      <c r="J1026" s="178" t="s">
        <v>497</v>
      </c>
    </row>
    <row r="1027" spans="1:10">
      <c r="A1027" s="178">
        <v>1000</v>
      </c>
      <c r="B1027" s="178" t="s">
        <v>559</v>
      </c>
      <c r="C1027" s="178">
        <v>0</v>
      </c>
      <c r="D1027" s="178">
        <v>0</v>
      </c>
      <c r="E1027" s="178">
        <v>0</v>
      </c>
      <c r="F1027" s="178">
        <v>0</v>
      </c>
      <c r="G1027" s="178">
        <v>0</v>
      </c>
      <c r="H1027" s="178">
        <v>0</v>
      </c>
      <c r="I1027" s="178">
        <v>0</v>
      </c>
      <c r="J1027" s="178" t="s">
        <v>497</v>
      </c>
    </row>
    <row r="1028" spans="1:10">
      <c r="A1028" s="178" t="s">
        <v>453</v>
      </c>
      <c r="B1028" s="178" t="s">
        <v>402</v>
      </c>
      <c r="C1028" s="178" t="s">
        <v>538</v>
      </c>
      <c r="D1028" s="178" t="s">
        <v>539</v>
      </c>
      <c r="E1028" s="178" t="s">
        <v>540</v>
      </c>
      <c r="F1028" s="178" t="s">
        <v>541</v>
      </c>
      <c r="G1028" s="178" t="s">
        <v>542</v>
      </c>
      <c r="H1028" s="178" t="s">
        <v>543</v>
      </c>
      <c r="I1028" s="178" t="s">
        <v>544</v>
      </c>
      <c r="J1028" s="178" t="s">
        <v>405</v>
      </c>
    </row>
    <row r="1029" spans="1:10">
      <c r="A1029" s="178">
        <v>10</v>
      </c>
      <c r="B1029" s="178" t="s">
        <v>545</v>
      </c>
      <c r="C1029" s="178">
        <v>0</v>
      </c>
      <c r="D1029" s="178">
        <v>0</v>
      </c>
      <c r="E1029" s="178">
        <v>0</v>
      </c>
      <c r="F1029" s="178">
        <v>0</v>
      </c>
      <c r="G1029" s="178">
        <v>0</v>
      </c>
      <c r="H1029" s="178">
        <v>0</v>
      </c>
      <c r="I1029" s="178">
        <v>0</v>
      </c>
      <c r="J1029" s="178" t="s">
        <v>497</v>
      </c>
    </row>
    <row r="1030" spans="1:10">
      <c r="A1030" s="178">
        <v>20</v>
      </c>
      <c r="B1030" s="178" t="s">
        <v>359</v>
      </c>
      <c r="C1030" s="178">
        <v>1459605.28</v>
      </c>
      <c r="D1030" s="178">
        <v>0</v>
      </c>
      <c r="E1030" s="178">
        <v>1459605.28</v>
      </c>
      <c r="F1030" s="178">
        <v>-396806.96</v>
      </c>
      <c r="G1030" s="178">
        <v>-396806.96</v>
      </c>
      <c r="H1030" s="178">
        <v>1856412.24</v>
      </c>
      <c r="I1030" s="178">
        <v>1856412.24</v>
      </c>
      <c r="J1030" s="178" t="s">
        <v>497</v>
      </c>
    </row>
    <row r="1031" spans="1:10">
      <c r="A1031" s="178">
        <v>30</v>
      </c>
      <c r="B1031" s="178" t="s">
        <v>360</v>
      </c>
      <c r="C1031" s="178">
        <v>0</v>
      </c>
      <c r="D1031" s="178">
        <v>0</v>
      </c>
      <c r="E1031" s="178">
        <v>0</v>
      </c>
      <c r="F1031" s="178">
        <v>0</v>
      </c>
      <c r="G1031" s="178">
        <v>0</v>
      </c>
      <c r="H1031" s="178">
        <v>0</v>
      </c>
      <c r="I1031" s="178">
        <v>0</v>
      </c>
      <c r="J1031" s="178" t="s">
        <v>497</v>
      </c>
    </row>
    <row r="1032" spans="1:10">
      <c r="A1032" s="178">
        <v>40</v>
      </c>
      <c r="B1032" s="178" t="s">
        <v>266</v>
      </c>
      <c r="C1032" s="178">
        <v>8555285.9</v>
      </c>
      <c r="D1032" s="178">
        <v>0</v>
      </c>
      <c r="E1032" s="178">
        <v>8555285.9</v>
      </c>
      <c r="F1032" s="178">
        <v>-1694507.51</v>
      </c>
      <c r="G1032" s="178">
        <v>-1694507.51</v>
      </c>
      <c r="H1032" s="178">
        <v>10249793.41</v>
      </c>
      <c r="I1032" s="178">
        <v>10249793.41</v>
      </c>
      <c r="J1032" s="178" t="s">
        <v>497</v>
      </c>
    </row>
    <row r="1033" spans="1:10">
      <c r="A1033" s="178">
        <v>50</v>
      </c>
      <c r="B1033" s="178" t="s">
        <v>267</v>
      </c>
      <c r="C1033" s="178">
        <v>9913212.45</v>
      </c>
      <c r="D1033" s="178">
        <v>0</v>
      </c>
      <c r="E1033" s="178">
        <v>9913212.45</v>
      </c>
      <c r="F1033" s="178">
        <v>313699.08</v>
      </c>
      <c r="G1033" s="178">
        <v>313699.08</v>
      </c>
      <c r="H1033" s="178">
        <v>9599513.37</v>
      </c>
      <c r="I1033" s="178">
        <v>9599513.37</v>
      </c>
      <c r="J1033" s="178" t="s">
        <v>497</v>
      </c>
    </row>
    <row r="1034" spans="1:10">
      <c r="A1034" s="178">
        <v>60</v>
      </c>
      <c r="B1034" s="178" t="s">
        <v>268</v>
      </c>
      <c r="C1034" s="178">
        <v>0</v>
      </c>
      <c r="D1034" s="178">
        <v>0</v>
      </c>
      <c r="E1034" s="178">
        <v>0</v>
      </c>
      <c r="F1034" s="178">
        <v>0</v>
      </c>
      <c r="G1034" s="178">
        <v>0</v>
      </c>
      <c r="H1034" s="178">
        <v>0</v>
      </c>
      <c r="I1034" s="178">
        <v>0</v>
      </c>
      <c r="J1034" s="178" t="s">
        <v>497</v>
      </c>
    </row>
    <row r="1035" spans="1:10">
      <c r="A1035" s="178">
        <v>70</v>
      </c>
      <c r="B1035" s="178" t="s">
        <v>269</v>
      </c>
      <c r="C1035" s="178">
        <v>-406734.98</v>
      </c>
      <c r="D1035" s="178">
        <v>0</v>
      </c>
      <c r="E1035" s="178">
        <v>-406734.98</v>
      </c>
      <c r="F1035" s="178">
        <v>-44007.36</v>
      </c>
      <c r="G1035" s="178">
        <v>-44007.36</v>
      </c>
      <c r="H1035" s="178">
        <v>-362727.62</v>
      </c>
      <c r="I1035" s="178">
        <v>-362727.62</v>
      </c>
      <c r="J1035" s="178" t="s">
        <v>497</v>
      </c>
    </row>
    <row r="1036" spans="1:10">
      <c r="A1036" s="178">
        <v>80</v>
      </c>
      <c r="B1036" s="178" t="s">
        <v>560</v>
      </c>
      <c r="C1036" s="178">
        <v>737234.63</v>
      </c>
      <c r="D1036" s="178">
        <v>0</v>
      </c>
      <c r="E1036" s="178">
        <v>737234.63</v>
      </c>
      <c r="F1036" s="178">
        <v>98156</v>
      </c>
      <c r="G1036" s="178">
        <v>98156</v>
      </c>
      <c r="H1036" s="178">
        <v>639078.63</v>
      </c>
      <c r="I1036" s="178">
        <v>639078.63</v>
      </c>
      <c r="J1036" s="178" t="s">
        <v>497</v>
      </c>
    </row>
    <row r="1037" spans="1:10">
      <c r="A1037" s="178">
        <v>100</v>
      </c>
      <c r="B1037" s="178" t="s">
        <v>547</v>
      </c>
      <c r="C1037" s="178">
        <v>20258603.28</v>
      </c>
      <c r="D1037" s="178">
        <v>0</v>
      </c>
      <c r="E1037" s="178">
        <v>20258603.28</v>
      </c>
      <c r="F1037" s="178">
        <v>-1723466.75</v>
      </c>
      <c r="G1037" s="178">
        <v>-1723466.75</v>
      </c>
      <c r="H1037" s="178">
        <v>21982070.03</v>
      </c>
      <c r="I1037" s="178">
        <v>21982070.03</v>
      </c>
      <c r="J1037" s="178" t="s">
        <v>497</v>
      </c>
    </row>
    <row r="1038" spans="1:10">
      <c r="A1038" s="178">
        <v>110</v>
      </c>
      <c r="B1038" s="178" t="s">
        <v>548</v>
      </c>
      <c r="C1038" s="178">
        <v>0</v>
      </c>
      <c r="D1038" s="178">
        <v>0</v>
      </c>
      <c r="E1038" s="178">
        <v>0</v>
      </c>
      <c r="F1038" s="178">
        <v>0</v>
      </c>
      <c r="G1038" s="178">
        <v>0</v>
      </c>
      <c r="H1038" s="178">
        <v>0</v>
      </c>
      <c r="I1038" s="178">
        <v>0</v>
      </c>
      <c r="J1038" s="178" t="s">
        <v>497</v>
      </c>
    </row>
    <row r="1039" spans="1:10">
      <c r="A1039" s="178">
        <v>120</v>
      </c>
      <c r="B1039" s="178" t="s">
        <v>322</v>
      </c>
      <c r="C1039" s="178">
        <v>9566747.95</v>
      </c>
      <c r="D1039" s="178">
        <v>0</v>
      </c>
      <c r="E1039" s="178">
        <v>9566747.95</v>
      </c>
      <c r="F1039" s="178">
        <v>0</v>
      </c>
      <c r="G1039" s="178">
        <v>0</v>
      </c>
      <c r="H1039" s="178">
        <v>9566747.95</v>
      </c>
      <c r="I1039" s="178">
        <v>9566747.95</v>
      </c>
      <c r="J1039" s="178" t="s">
        <v>497</v>
      </c>
    </row>
    <row r="1040" spans="1:10">
      <c r="A1040" s="178">
        <v>130</v>
      </c>
      <c r="B1040" s="178" t="s">
        <v>282</v>
      </c>
      <c r="C1040" s="178">
        <v>5283681.11</v>
      </c>
      <c r="D1040" s="178">
        <v>0</v>
      </c>
      <c r="E1040" s="178">
        <v>5283681.11</v>
      </c>
      <c r="F1040" s="178">
        <v>0</v>
      </c>
      <c r="G1040" s="178">
        <v>0</v>
      </c>
      <c r="H1040" s="178">
        <v>5283681.11</v>
      </c>
      <c r="I1040" s="178">
        <v>5283681.11</v>
      </c>
      <c r="J1040" s="178" t="s">
        <v>497</v>
      </c>
    </row>
    <row r="1041" spans="1:10">
      <c r="A1041" s="178">
        <v>140</v>
      </c>
      <c r="B1041" s="178" t="s">
        <v>364</v>
      </c>
      <c r="C1041" s="178">
        <v>227435.68</v>
      </c>
      <c r="D1041" s="178">
        <v>0</v>
      </c>
      <c r="E1041" s="178">
        <v>227435.68</v>
      </c>
      <c r="F1041" s="178">
        <v>0</v>
      </c>
      <c r="G1041" s="178">
        <v>0</v>
      </c>
      <c r="H1041" s="178">
        <v>227435.68</v>
      </c>
      <c r="I1041" s="178">
        <v>227435.68</v>
      </c>
      <c r="J1041" s="178" t="s">
        <v>497</v>
      </c>
    </row>
    <row r="1042" spans="1:10">
      <c r="A1042" s="178">
        <v>150</v>
      </c>
      <c r="B1042" s="178" t="s">
        <v>285</v>
      </c>
      <c r="C1042" s="178">
        <v>233232.83</v>
      </c>
      <c r="D1042" s="178">
        <v>0</v>
      </c>
      <c r="E1042" s="178">
        <v>233232.83</v>
      </c>
      <c r="F1042" s="178">
        <v>0</v>
      </c>
      <c r="G1042" s="178">
        <v>0</v>
      </c>
      <c r="H1042" s="178">
        <v>233232.83</v>
      </c>
      <c r="I1042" s="178">
        <v>233232.83</v>
      </c>
      <c r="J1042" s="178" t="s">
        <v>497</v>
      </c>
    </row>
    <row r="1043" spans="1:10">
      <c r="A1043" s="178">
        <v>160</v>
      </c>
      <c r="B1043" s="178" t="s">
        <v>284</v>
      </c>
      <c r="C1043" s="178">
        <v>1242454.6</v>
      </c>
      <c r="D1043" s="178">
        <v>0</v>
      </c>
      <c r="E1043" s="178">
        <v>1242454.6</v>
      </c>
      <c r="F1043" s="178">
        <v>0</v>
      </c>
      <c r="G1043" s="178">
        <v>0</v>
      </c>
      <c r="H1043" s="178">
        <v>1242454.6</v>
      </c>
      <c r="I1043" s="178">
        <v>1242454.6</v>
      </c>
      <c r="J1043" s="178" t="s">
        <v>497</v>
      </c>
    </row>
    <row r="1044" spans="1:10">
      <c r="A1044" s="178">
        <v>170</v>
      </c>
      <c r="B1044" s="178" t="s">
        <v>283</v>
      </c>
      <c r="C1044" s="178">
        <v>2028790.71</v>
      </c>
      <c r="D1044" s="178">
        <v>0</v>
      </c>
      <c r="E1044" s="178">
        <v>2028790.71</v>
      </c>
      <c r="F1044" s="178">
        <v>0</v>
      </c>
      <c r="G1044" s="178">
        <v>0</v>
      </c>
      <c r="H1044" s="178">
        <v>2028790.71</v>
      </c>
      <c r="I1044" s="178">
        <v>2028790.71</v>
      </c>
      <c r="J1044" s="178" t="s">
        <v>497</v>
      </c>
    </row>
    <row r="1045" spans="1:10">
      <c r="A1045" s="178">
        <v>180</v>
      </c>
      <c r="B1045" s="178" t="s">
        <v>366</v>
      </c>
      <c r="C1045" s="178">
        <v>0</v>
      </c>
      <c r="D1045" s="178">
        <v>0</v>
      </c>
      <c r="E1045" s="178">
        <v>0</v>
      </c>
      <c r="F1045" s="178">
        <v>0</v>
      </c>
      <c r="G1045" s="178">
        <v>0</v>
      </c>
      <c r="H1045" s="178">
        <v>0</v>
      </c>
      <c r="I1045" s="178">
        <v>0</v>
      </c>
      <c r="J1045" s="178" t="s">
        <v>497</v>
      </c>
    </row>
    <row r="1046" spans="1:10">
      <c r="A1046" s="178">
        <v>190</v>
      </c>
      <c r="B1046" s="178" t="s">
        <v>367</v>
      </c>
      <c r="C1046" s="178">
        <v>-2754859.12</v>
      </c>
      <c r="D1046" s="178">
        <v>0</v>
      </c>
      <c r="E1046" s="178">
        <v>-2754859.12</v>
      </c>
      <c r="F1046" s="178">
        <v>-25049.74</v>
      </c>
      <c r="G1046" s="178">
        <v>-25049.74</v>
      </c>
      <c r="H1046" s="178">
        <v>-2729809.38</v>
      </c>
      <c r="I1046" s="178">
        <v>-2729809.38</v>
      </c>
      <c r="J1046" s="178" t="s">
        <v>497</v>
      </c>
    </row>
    <row r="1047" spans="1:10">
      <c r="A1047" s="178">
        <v>200</v>
      </c>
      <c r="B1047" s="178" t="s">
        <v>368</v>
      </c>
      <c r="C1047" s="178">
        <v>15827483.76</v>
      </c>
      <c r="D1047" s="178">
        <v>0</v>
      </c>
      <c r="E1047" s="178">
        <v>15827483.76</v>
      </c>
      <c r="F1047" s="178">
        <v>-25049.74</v>
      </c>
      <c r="G1047" s="178">
        <v>-25049.74</v>
      </c>
      <c r="H1047" s="178">
        <v>15852533.5</v>
      </c>
      <c r="I1047" s="178">
        <v>15852533.5</v>
      </c>
      <c r="J1047" s="178" t="s">
        <v>497</v>
      </c>
    </row>
    <row r="1048" spans="1:10">
      <c r="A1048" s="178">
        <v>210</v>
      </c>
      <c r="B1048" s="178" t="s">
        <v>549</v>
      </c>
      <c r="C1048" s="178">
        <v>0</v>
      </c>
      <c r="D1048" s="178">
        <v>0</v>
      </c>
      <c r="E1048" s="178">
        <v>0</v>
      </c>
      <c r="F1048" s="178">
        <v>0</v>
      </c>
      <c r="G1048" s="178">
        <v>0</v>
      </c>
      <c r="H1048" s="178">
        <v>0</v>
      </c>
      <c r="I1048" s="178">
        <v>0</v>
      </c>
      <c r="J1048" s="178" t="s">
        <v>497</v>
      </c>
    </row>
    <row r="1049" spans="1:10">
      <c r="A1049" s="178">
        <v>220</v>
      </c>
      <c r="B1049" s="178" t="s">
        <v>370</v>
      </c>
      <c r="C1049" s="178">
        <v>0</v>
      </c>
      <c r="D1049" s="178">
        <v>0</v>
      </c>
      <c r="E1049" s="178">
        <v>0</v>
      </c>
      <c r="F1049" s="178">
        <v>0</v>
      </c>
      <c r="G1049" s="178">
        <v>0</v>
      </c>
      <c r="H1049" s="178">
        <v>0</v>
      </c>
      <c r="I1049" s="178">
        <v>0</v>
      </c>
      <c r="J1049" s="178" t="s">
        <v>497</v>
      </c>
    </row>
    <row r="1050" spans="1:10">
      <c r="A1050" s="178">
        <v>230</v>
      </c>
      <c r="B1050" s="178" t="s">
        <v>371</v>
      </c>
      <c r="C1050" s="178">
        <v>0</v>
      </c>
      <c r="D1050" s="178">
        <v>0</v>
      </c>
      <c r="E1050" s="178">
        <v>0</v>
      </c>
      <c r="F1050" s="178">
        <v>0</v>
      </c>
      <c r="G1050" s="178">
        <v>0</v>
      </c>
      <c r="H1050" s="178">
        <v>0</v>
      </c>
      <c r="I1050" s="178">
        <v>0</v>
      </c>
      <c r="J1050" s="178" t="s">
        <v>497</v>
      </c>
    </row>
    <row r="1051" spans="1:10">
      <c r="A1051" s="178">
        <v>240</v>
      </c>
      <c r="B1051" s="178" t="s">
        <v>372</v>
      </c>
      <c r="C1051" s="178">
        <v>0</v>
      </c>
      <c r="D1051" s="178">
        <v>0</v>
      </c>
      <c r="E1051" s="178">
        <v>0</v>
      </c>
      <c r="F1051" s="178">
        <v>0</v>
      </c>
      <c r="G1051" s="178">
        <v>0</v>
      </c>
      <c r="H1051" s="178">
        <v>0</v>
      </c>
      <c r="I1051" s="178">
        <v>0</v>
      </c>
      <c r="J1051" s="178" t="s">
        <v>497</v>
      </c>
    </row>
    <row r="1052" spans="1:10">
      <c r="A1052" s="178">
        <v>250</v>
      </c>
      <c r="B1052" s="178" t="s">
        <v>373</v>
      </c>
      <c r="C1052" s="178">
        <v>0</v>
      </c>
      <c r="D1052" s="178">
        <v>0</v>
      </c>
      <c r="E1052" s="178">
        <v>0</v>
      </c>
      <c r="F1052" s="178">
        <v>0</v>
      </c>
      <c r="G1052" s="178">
        <v>0</v>
      </c>
      <c r="H1052" s="178">
        <v>0</v>
      </c>
      <c r="I1052" s="178">
        <v>0</v>
      </c>
      <c r="J1052" s="178" t="s">
        <v>497</v>
      </c>
    </row>
    <row r="1053" spans="1:10">
      <c r="A1053" s="178">
        <v>260</v>
      </c>
      <c r="B1053" s="178" t="s">
        <v>374</v>
      </c>
      <c r="C1053" s="178">
        <v>0</v>
      </c>
      <c r="D1053" s="178">
        <v>0</v>
      </c>
      <c r="E1053" s="178">
        <v>0</v>
      </c>
      <c r="F1053" s="178">
        <v>0</v>
      </c>
      <c r="G1053" s="178">
        <v>0</v>
      </c>
      <c r="H1053" s="178">
        <v>0</v>
      </c>
      <c r="I1053" s="178">
        <v>0</v>
      </c>
      <c r="J1053" s="178" t="s">
        <v>497</v>
      </c>
    </row>
    <row r="1054" spans="1:10">
      <c r="A1054" s="178">
        <v>270</v>
      </c>
      <c r="B1054" s="178" t="s">
        <v>375</v>
      </c>
      <c r="C1054" s="178">
        <v>0</v>
      </c>
      <c r="D1054" s="178">
        <v>0</v>
      </c>
      <c r="E1054" s="178">
        <v>0</v>
      </c>
      <c r="F1054" s="178">
        <v>0</v>
      </c>
      <c r="G1054" s="178">
        <v>0</v>
      </c>
      <c r="H1054" s="178">
        <v>0</v>
      </c>
      <c r="I1054" s="178">
        <v>0</v>
      </c>
      <c r="J1054" s="178" t="s">
        <v>497</v>
      </c>
    </row>
    <row r="1055" spans="1:10">
      <c r="A1055" s="178">
        <v>280</v>
      </c>
      <c r="B1055" s="178" t="s">
        <v>550</v>
      </c>
      <c r="C1055" s="178">
        <v>0</v>
      </c>
      <c r="D1055" s="178">
        <v>0</v>
      </c>
      <c r="E1055" s="178">
        <v>0</v>
      </c>
      <c r="F1055" s="178">
        <v>0</v>
      </c>
      <c r="G1055" s="178">
        <v>0</v>
      </c>
      <c r="H1055" s="178">
        <v>0</v>
      </c>
      <c r="I1055" s="178">
        <v>0</v>
      </c>
      <c r="J1055" s="178" t="s">
        <v>497</v>
      </c>
    </row>
    <row r="1056" spans="1:10">
      <c r="A1056" s="178">
        <v>400</v>
      </c>
      <c r="B1056" s="178" t="s">
        <v>377</v>
      </c>
      <c r="C1056" s="178">
        <v>36086087.04</v>
      </c>
      <c r="D1056" s="178">
        <v>0</v>
      </c>
      <c r="E1056" s="178">
        <v>36086087.04</v>
      </c>
      <c r="F1056" s="178">
        <v>-1748516.49</v>
      </c>
      <c r="G1056" s="178">
        <v>-1748516.49</v>
      </c>
      <c r="H1056" s="178">
        <v>37834603.53</v>
      </c>
      <c r="I1056" s="178">
        <v>37834603.53</v>
      </c>
      <c r="J1056" s="178" t="s">
        <v>497</v>
      </c>
    </row>
    <row r="1057" spans="1:10">
      <c r="A1057" s="178">
        <v>410</v>
      </c>
      <c r="B1057" s="178" t="s">
        <v>551</v>
      </c>
      <c r="C1057" s="178">
        <v>0</v>
      </c>
      <c r="D1057" s="178">
        <v>0</v>
      </c>
      <c r="E1057" s="178">
        <v>0</v>
      </c>
      <c r="F1057" s="178">
        <v>0</v>
      </c>
      <c r="G1057" s="178">
        <v>0</v>
      </c>
      <c r="H1057" s="178">
        <v>0</v>
      </c>
      <c r="I1057" s="178">
        <v>0</v>
      </c>
      <c r="J1057" s="178" t="s">
        <v>497</v>
      </c>
    </row>
    <row r="1058" spans="1:10">
      <c r="A1058" s="178">
        <v>420</v>
      </c>
      <c r="B1058" s="178" t="s">
        <v>270</v>
      </c>
      <c r="C1058" s="178">
        <v>1400000</v>
      </c>
      <c r="D1058" s="178">
        <v>0</v>
      </c>
      <c r="E1058" s="178">
        <v>1400000</v>
      </c>
      <c r="F1058" s="178">
        <v>-1457000</v>
      </c>
      <c r="G1058" s="178">
        <v>-1457000</v>
      </c>
      <c r="H1058" s="178">
        <v>2857000</v>
      </c>
      <c r="I1058" s="178">
        <v>2857000</v>
      </c>
      <c r="J1058" s="178" t="s">
        <v>497</v>
      </c>
    </row>
    <row r="1059" spans="1:10">
      <c r="A1059" s="178">
        <v>430</v>
      </c>
      <c r="B1059" s="178" t="s">
        <v>379</v>
      </c>
      <c r="C1059" s="178">
        <v>2935451.17</v>
      </c>
      <c r="D1059" s="178">
        <v>0</v>
      </c>
      <c r="E1059" s="178">
        <v>2935451.17</v>
      </c>
      <c r="F1059" s="178">
        <v>-2900</v>
      </c>
      <c r="G1059" s="178">
        <v>-2900</v>
      </c>
      <c r="H1059" s="178">
        <v>2938351.17</v>
      </c>
      <c r="I1059" s="178">
        <v>2938351.17</v>
      </c>
      <c r="J1059" s="178" t="s">
        <v>497</v>
      </c>
    </row>
    <row r="1060" spans="1:10">
      <c r="A1060" s="178">
        <v>440</v>
      </c>
      <c r="B1060" s="178" t="s">
        <v>380</v>
      </c>
      <c r="C1060" s="178">
        <v>0</v>
      </c>
      <c r="D1060" s="178">
        <v>0</v>
      </c>
      <c r="E1060" s="178">
        <v>0</v>
      </c>
      <c r="F1060" s="178">
        <v>0</v>
      </c>
      <c r="G1060" s="178">
        <v>0</v>
      </c>
      <c r="H1060" s="178">
        <v>0</v>
      </c>
      <c r="I1060" s="178">
        <v>0</v>
      </c>
      <c r="J1060" s="178" t="s">
        <v>497</v>
      </c>
    </row>
    <row r="1061" spans="1:10">
      <c r="A1061" s="178">
        <v>450</v>
      </c>
      <c r="B1061" s="178" t="s">
        <v>381</v>
      </c>
      <c r="C1061" s="178">
        <v>805671.45</v>
      </c>
      <c r="D1061" s="178">
        <v>0</v>
      </c>
      <c r="E1061" s="178">
        <v>805671.45</v>
      </c>
      <c r="F1061" s="178">
        <v>-388678.92</v>
      </c>
      <c r="G1061" s="178">
        <v>-388678.92</v>
      </c>
      <c r="H1061" s="178">
        <v>1194350.37</v>
      </c>
      <c r="I1061" s="178">
        <v>1194350.37</v>
      </c>
      <c r="J1061" s="178" t="s">
        <v>497</v>
      </c>
    </row>
    <row r="1062" spans="1:10">
      <c r="A1062" s="178">
        <v>460</v>
      </c>
      <c r="B1062" s="178" t="s">
        <v>553</v>
      </c>
      <c r="C1062" s="178">
        <v>0</v>
      </c>
      <c r="D1062" s="178">
        <v>0</v>
      </c>
      <c r="E1062" s="178">
        <v>0</v>
      </c>
      <c r="F1062" s="178">
        <v>0</v>
      </c>
      <c r="G1062" s="178">
        <v>0</v>
      </c>
      <c r="H1062" s="178">
        <v>0</v>
      </c>
      <c r="I1062" s="178">
        <v>0</v>
      </c>
      <c r="J1062" s="178" t="s">
        <v>497</v>
      </c>
    </row>
    <row r="1063" spans="1:10">
      <c r="A1063" s="178">
        <v>500</v>
      </c>
      <c r="B1063" s="178" t="s">
        <v>383</v>
      </c>
      <c r="C1063" s="178">
        <v>5141122.62</v>
      </c>
      <c r="D1063" s="178">
        <v>0</v>
      </c>
      <c r="E1063" s="178">
        <v>5141122.62</v>
      </c>
      <c r="F1063" s="178">
        <v>-1848578.92</v>
      </c>
      <c r="G1063" s="178">
        <v>-1848578.92</v>
      </c>
      <c r="H1063" s="178">
        <v>6989701.54</v>
      </c>
      <c r="I1063" s="178">
        <v>6989701.54</v>
      </c>
      <c r="J1063" s="178" t="s">
        <v>497</v>
      </c>
    </row>
    <row r="1064" spans="1:10">
      <c r="A1064" s="178">
        <v>510</v>
      </c>
      <c r="B1064" s="178" t="s">
        <v>554</v>
      </c>
      <c r="C1064" s="178">
        <v>0</v>
      </c>
      <c r="D1064" s="178">
        <v>0</v>
      </c>
      <c r="E1064" s="178">
        <v>0</v>
      </c>
      <c r="F1064" s="178">
        <v>0</v>
      </c>
      <c r="G1064" s="178">
        <v>0</v>
      </c>
      <c r="H1064" s="178">
        <v>0</v>
      </c>
      <c r="I1064" s="178">
        <v>0</v>
      </c>
      <c r="J1064" s="178" t="s">
        <v>497</v>
      </c>
    </row>
    <row r="1065" spans="1:10">
      <c r="A1065" s="178">
        <v>520</v>
      </c>
      <c r="B1065" s="178" t="s">
        <v>385</v>
      </c>
      <c r="C1065" s="178">
        <v>0</v>
      </c>
      <c r="D1065" s="178">
        <v>0</v>
      </c>
      <c r="E1065" s="178">
        <v>0</v>
      </c>
      <c r="F1065" s="178">
        <v>0</v>
      </c>
      <c r="G1065" s="178">
        <v>0</v>
      </c>
      <c r="H1065" s="178">
        <v>0</v>
      </c>
      <c r="I1065" s="178">
        <v>0</v>
      </c>
      <c r="J1065" s="178" t="s">
        <v>497</v>
      </c>
    </row>
    <row r="1066" spans="1:10">
      <c r="A1066" s="178">
        <v>530</v>
      </c>
      <c r="B1066" s="178" t="s">
        <v>386</v>
      </c>
      <c r="C1066" s="178">
        <v>0</v>
      </c>
      <c r="D1066" s="178">
        <v>0</v>
      </c>
      <c r="E1066" s="178">
        <v>0</v>
      </c>
      <c r="F1066" s="178">
        <v>0</v>
      </c>
      <c r="G1066" s="178">
        <v>0</v>
      </c>
      <c r="H1066" s="178">
        <v>0</v>
      </c>
      <c r="I1066" s="178">
        <v>0</v>
      </c>
      <c r="J1066" s="178" t="s">
        <v>497</v>
      </c>
    </row>
    <row r="1067" spans="1:10">
      <c r="A1067" s="178">
        <v>540</v>
      </c>
      <c r="B1067" s="178" t="s">
        <v>387</v>
      </c>
      <c r="C1067" s="178">
        <v>0</v>
      </c>
      <c r="D1067" s="178">
        <v>0</v>
      </c>
      <c r="E1067" s="178">
        <v>0</v>
      </c>
      <c r="F1067" s="178">
        <v>0</v>
      </c>
      <c r="G1067" s="178">
        <v>0</v>
      </c>
      <c r="H1067" s="178">
        <v>0</v>
      </c>
      <c r="I1067" s="178">
        <v>0</v>
      </c>
      <c r="J1067" s="178" t="s">
        <v>497</v>
      </c>
    </row>
    <row r="1068" spans="1:10">
      <c r="A1068" s="178">
        <v>600</v>
      </c>
      <c r="B1068" s="178" t="s">
        <v>388</v>
      </c>
      <c r="C1068" s="178">
        <v>0</v>
      </c>
      <c r="D1068" s="178">
        <v>0</v>
      </c>
      <c r="E1068" s="178">
        <v>0</v>
      </c>
      <c r="F1068" s="178">
        <v>0</v>
      </c>
      <c r="G1068" s="178">
        <v>0</v>
      </c>
      <c r="H1068" s="178">
        <v>0</v>
      </c>
      <c r="I1068" s="178">
        <v>0</v>
      </c>
      <c r="J1068" s="178" t="s">
        <v>497</v>
      </c>
    </row>
    <row r="1069" spans="1:10">
      <c r="A1069" s="178">
        <v>610</v>
      </c>
      <c r="B1069" s="178" t="s">
        <v>556</v>
      </c>
      <c r="C1069" s="178">
        <v>0</v>
      </c>
      <c r="D1069" s="178">
        <v>0</v>
      </c>
      <c r="E1069" s="178">
        <v>0</v>
      </c>
      <c r="F1069" s="178">
        <v>0</v>
      </c>
      <c r="G1069" s="178">
        <v>0</v>
      </c>
      <c r="H1069" s="178">
        <v>0</v>
      </c>
      <c r="I1069" s="178">
        <v>0</v>
      </c>
      <c r="J1069" s="178" t="s">
        <v>497</v>
      </c>
    </row>
    <row r="1070" spans="1:10">
      <c r="A1070" s="178">
        <v>620</v>
      </c>
      <c r="B1070" s="178" t="s">
        <v>390</v>
      </c>
      <c r="C1070" s="178">
        <v>0</v>
      </c>
      <c r="D1070" s="178">
        <v>0</v>
      </c>
      <c r="E1070" s="178">
        <v>0</v>
      </c>
      <c r="F1070" s="178">
        <v>0</v>
      </c>
      <c r="G1070" s="178">
        <v>0</v>
      </c>
      <c r="H1070" s="178">
        <v>0</v>
      </c>
      <c r="I1070" s="178">
        <v>0</v>
      </c>
      <c r="J1070" s="178" t="s">
        <v>497</v>
      </c>
    </row>
    <row r="1071" spans="1:10">
      <c r="A1071" s="178">
        <v>700</v>
      </c>
      <c r="B1071" s="178" t="s">
        <v>557</v>
      </c>
      <c r="C1071" s="178">
        <v>0</v>
      </c>
      <c r="D1071" s="178">
        <v>0</v>
      </c>
      <c r="E1071" s="178">
        <v>0</v>
      </c>
      <c r="F1071" s="178">
        <v>0</v>
      </c>
      <c r="G1071" s="178">
        <v>0</v>
      </c>
      <c r="H1071" s="178">
        <v>0</v>
      </c>
      <c r="I1071" s="178">
        <v>0</v>
      </c>
      <c r="J1071" s="178" t="s">
        <v>497</v>
      </c>
    </row>
    <row r="1072" spans="1:10">
      <c r="A1072" s="178">
        <v>710</v>
      </c>
      <c r="B1072" s="178" t="s">
        <v>558</v>
      </c>
      <c r="C1072" s="178">
        <v>0</v>
      </c>
      <c r="D1072" s="178">
        <v>0</v>
      </c>
      <c r="E1072" s="178">
        <v>0</v>
      </c>
      <c r="F1072" s="178">
        <v>0</v>
      </c>
      <c r="G1072" s="178">
        <v>0</v>
      </c>
      <c r="H1072" s="178">
        <v>0</v>
      </c>
      <c r="I1072" s="178">
        <v>0</v>
      </c>
      <c r="J1072" s="178" t="s">
        <v>497</v>
      </c>
    </row>
    <row r="1073" spans="1:10">
      <c r="A1073" s="178">
        <v>720</v>
      </c>
      <c r="B1073" s="178" t="s">
        <v>276</v>
      </c>
      <c r="C1073" s="178">
        <v>8311752.33</v>
      </c>
      <c r="D1073" s="178">
        <v>0</v>
      </c>
      <c r="E1073" s="178">
        <v>8311752.33</v>
      </c>
      <c r="F1073" s="178">
        <v>0</v>
      </c>
      <c r="G1073" s="178">
        <v>0</v>
      </c>
      <c r="H1073" s="178">
        <v>8311752.33</v>
      </c>
      <c r="I1073" s="178">
        <v>8311752.33</v>
      </c>
      <c r="J1073" s="178" t="s">
        <v>497</v>
      </c>
    </row>
    <row r="1074" spans="1:10">
      <c r="A1074" s="178">
        <v>730</v>
      </c>
      <c r="B1074" s="178" t="s">
        <v>393</v>
      </c>
      <c r="C1074" s="178">
        <v>8748.96</v>
      </c>
      <c r="D1074" s="178">
        <v>0</v>
      </c>
      <c r="E1074" s="178">
        <v>8748.96</v>
      </c>
      <c r="F1074" s="178">
        <v>0</v>
      </c>
      <c r="G1074" s="178">
        <v>0</v>
      </c>
      <c r="H1074" s="178">
        <v>8748.96</v>
      </c>
      <c r="I1074" s="178">
        <v>8748.96</v>
      </c>
      <c r="J1074" s="178" t="s">
        <v>497</v>
      </c>
    </row>
    <row r="1075" spans="1:10">
      <c r="A1075" s="178">
        <v>740</v>
      </c>
      <c r="B1075" s="178" t="s">
        <v>394</v>
      </c>
      <c r="C1075" s="178">
        <v>22524400.7</v>
      </c>
      <c r="D1075" s="178">
        <v>0</v>
      </c>
      <c r="E1075" s="178">
        <v>22524400.7</v>
      </c>
      <c r="F1075" s="178">
        <v>0</v>
      </c>
      <c r="G1075" s="178">
        <v>0</v>
      </c>
      <c r="H1075" s="178">
        <v>19707056.94</v>
      </c>
      <c r="I1075" s="178">
        <v>22524400.7</v>
      </c>
      <c r="J1075" s="178" t="s">
        <v>497</v>
      </c>
    </row>
    <row r="1076" spans="1:10">
      <c r="A1076" s="178">
        <v>750</v>
      </c>
      <c r="B1076" s="178" t="s">
        <v>395</v>
      </c>
      <c r="C1076" s="178">
        <v>100062.43</v>
      </c>
      <c r="D1076" s="178">
        <v>131515</v>
      </c>
      <c r="E1076" s="178">
        <v>-31452.57</v>
      </c>
      <c r="F1076" s="178">
        <v>100062.43</v>
      </c>
      <c r="G1076" s="178">
        <v>100062.43</v>
      </c>
      <c r="H1076" s="178">
        <v>2817343.76</v>
      </c>
      <c r="I1076" s="178">
        <v>0</v>
      </c>
      <c r="J1076" s="178" t="s">
        <v>497</v>
      </c>
    </row>
    <row r="1077" spans="1:10">
      <c r="A1077" s="178">
        <v>760</v>
      </c>
      <c r="B1077" s="178" t="s">
        <v>396</v>
      </c>
      <c r="C1077" s="178">
        <v>0</v>
      </c>
      <c r="D1077" s="178">
        <v>0</v>
      </c>
      <c r="E1077" s="178">
        <v>0</v>
      </c>
      <c r="F1077" s="178">
        <v>0</v>
      </c>
      <c r="G1077" s="178">
        <v>0</v>
      </c>
      <c r="H1077" s="178">
        <v>0</v>
      </c>
      <c r="I1077" s="178">
        <v>0</v>
      </c>
      <c r="J1077" s="178" t="s">
        <v>497</v>
      </c>
    </row>
    <row r="1078" spans="1:10">
      <c r="A1078" s="178">
        <v>770</v>
      </c>
      <c r="B1078" s="178" t="s">
        <v>397</v>
      </c>
      <c r="C1078" s="178">
        <v>0</v>
      </c>
      <c r="D1078" s="178">
        <v>0</v>
      </c>
      <c r="E1078" s="178">
        <v>0</v>
      </c>
      <c r="F1078" s="178">
        <v>0</v>
      </c>
      <c r="G1078" s="178">
        <v>0</v>
      </c>
      <c r="H1078" s="178">
        <v>0</v>
      </c>
      <c r="I1078" s="178">
        <v>0</v>
      </c>
      <c r="J1078" s="178" t="s">
        <v>497</v>
      </c>
    </row>
    <row r="1079" spans="1:10">
      <c r="A1079" s="178">
        <v>800</v>
      </c>
      <c r="B1079" s="178" t="s">
        <v>398</v>
      </c>
      <c r="C1079" s="178">
        <v>30944964.42</v>
      </c>
      <c r="D1079" s="178">
        <v>131515</v>
      </c>
      <c r="E1079" s="178">
        <v>30813449.42</v>
      </c>
      <c r="F1079" s="178">
        <v>100062.43</v>
      </c>
      <c r="G1079" s="178">
        <v>100062.43</v>
      </c>
      <c r="H1079" s="178">
        <v>30844901.99</v>
      </c>
      <c r="I1079" s="178">
        <v>30844901.99</v>
      </c>
      <c r="J1079" s="178" t="s">
        <v>497</v>
      </c>
    </row>
    <row r="1080" spans="1:10">
      <c r="A1080" s="178">
        <v>900</v>
      </c>
      <c r="B1080" s="178" t="s">
        <v>399</v>
      </c>
      <c r="C1080" s="178">
        <v>36086087.04</v>
      </c>
      <c r="D1080" s="178">
        <v>131515</v>
      </c>
      <c r="E1080" s="178">
        <v>35954572.04</v>
      </c>
      <c r="F1080" s="178">
        <v>-1748516.49</v>
      </c>
      <c r="G1080" s="178">
        <v>-1748516.49</v>
      </c>
      <c r="H1080" s="178">
        <v>37834603.53</v>
      </c>
      <c r="I1080" s="178">
        <v>37834603.53</v>
      </c>
      <c r="J1080" s="178" t="s">
        <v>497</v>
      </c>
    </row>
    <row r="1081" spans="1:10">
      <c r="A1081" s="178">
        <v>1000</v>
      </c>
      <c r="B1081" s="178" t="s">
        <v>559</v>
      </c>
      <c r="C1081" s="178">
        <v>0</v>
      </c>
      <c r="D1081" s="178">
        <v>-131515</v>
      </c>
      <c r="E1081" s="178">
        <v>131515</v>
      </c>
      <c r="F1081" s="178">
        <v>0</v>
      </c>
      <c r="G1081" s="178">
        <v>0</v>
      </c>
      <c r="H1081" s="178">
        <v>0</v>
      </c>
      <c r="I1081" s="178">
        <v>0</v>
      </c>
      <c r="J1081" s="178" t="s">
        <v>497</v>
      </c>
    </row>
    <row r="1082" spans="1:10">
      <c r="A1082" s="178" t="s">
        <v>454</v>
      </c>
      <c r="B1082" s="178" t="s">
        <v>402</v>
      </c>
      <c r="C1082" s="178" t="s">
        <v>538</v>
      </c>
      <c r="D1082" s="178" t="s">
        <v>539</v>
      </c>
      <c r="E1082" s="178" t="s">
        <v>540</v>
      </c>
      <c r="F1082" s="178" t="s">
        <v>541</v>
      </c>
      <c r="G1082" s="178" t="s">
        <v>542</v>
      </c>
      <c r="H1082" s="178" t="s">
        <v>543</v>
      </c>
      <c r="I1082" s="178" t="s">
        <v>544</v>
      </c>
      <c r="J1082" s="178" t="s">
        <v>405</v>
      </c>
    </row>
    <row r="1083" spans="1:10">
      <c r="A1083" s="178">
        <v>10</v>
      </c>
      <c r="B1083" s="178" t="s">
        <v>545</v>
      </c>
      <c r="C1083" s="178">
        <v>0</v>
      </c>
      <c r="D1083" s="178">
        <v>0</v>
      </c>
      <c r="E1083" s="178">
        <v>0</v>
      </c>
      <c r="F1083" s="178">
        <v>0</v>
      </c>
      <c r="G1083" s="178">
        <v>0</v>
      </c>
      <c r="H1083" s="178">
        <v>0</v>
      </c>
      <c r="I1083" s="178">
        <v>0</v>
      </c>
      <c r="J1083" s="178" t="s">
        <v>497</v>
      </c>
    </row>
    <row r="1084" spans="1:10">
      <c r="A1084" s="178">
        <v>20</v>
      </c>
      <c r="B1084" s="178" t="s">
        <v>359</v>
      </c>
      <c r="C1084" s="178">
        <v>9489328.78</v>
      </c>
      <c r="D1084" s="178">
        <v>0</v>
      </c>
      <c r="E1084" s="178">
        <v>9489328.78</v>
      </c>
      <c r="F1084" s="178">
        <v>-1101303.96</v>
      </c>
      <c r="G1084" s="178">
        <v>-1101303.96</v>
      </c>
      <c r="H1084" s="178">
        <v>10590632.74</v>
      </c>
      <c r="I1084" s="178">
        <v>10590632.74</v>
      </c>
      <c r="J1084" s="178" t="s">
        <v>497</v>
      </c>
    </row>
    <row r="1085" spans="1:10">
      <c r="A1085" s="178">
        <v>30</v>
      </c>
      <c r="B1085" s="178" t="s">
        <v>360</v>
      </c>
      <c r="C1085" s="178">
        <v>0</v>
      </c>
      <c r="D1085" s="178">
        <v>0</v>
      </c>
      <c r="E1085" s="178">
        <v>0</v>
      </c>
      <c r="F1085" s="178">
        <v>0</v>
      </c>
      <c r="G1085" s="178">
        <v>0</v>
      </c>
      <c r="H1085" s="178">
        <v>0</v>
      </c>
      <c r="I1085" s="178">
        <v>0</v>
      </c>
      <c r="J1085" s="178" t="s">
        <v>497</v>
      </c>
    </row>
    <row r="1086" spans="1:10">
      <c r="A1086" s="178">
        <v>40</v>
      </c>
      <c r="B1086" s="178" t="s">
        <v>266</v>
      </c>
      <c r="C1086" s="178">
        <v>188407438.54</v>
      </c>
      <c r="D1086" s="178">
        <v>0</v>
      </c>
      <c r="E1086" s="178">
        <v>188407438.54</v>
      </c>
      <c r="F1086" s="178">
        <v>3711474.67</v>
      </c>
      <c r="G1086" s="178">
        <v>3711474.67</v>
      </c>
      <c r="H1086" s="178">
        <v>184695963.87</v>
      </c>
      <c r="I1086" s="178">
        <v>184695963.87</v>
      </c>
      <c r="J1086" s="178" t="s">
        <v>497</v>
      </c>
    </row>
    <row r="1087" spans="1:10">
      <c r="A1087" s="178">
        <v>50</v>
      </c>
      <c r="B1087" s="178" t="s">
        <v>267</v>
      </c>
      <c r="C1087" s="178">
        <v>13988375.53</v>
      </c>
      <c r="D1087" s="178">
        <v>0</v>
      </c>
      <c r="E1087" s="178">
        <v>13988375.53</v>
      </c>
      <c r="F1087" s="178">
        <v>1407058.42</v>
      </c>
      <c r="G1087" s="178">
        <v>1407058.42</v>
      </c>
      <c r="H1087" s="178">
        <v>12581317.11</v>
      </c>
      <c r="I1087" s="178">
        <v>12581317.11</v>
      </c>
      <c r="J1087" s="178" t="s">
        <v>497</v>
      </c>
    </row>
    <row r="1088" spans="1:10">
      <c r="A1088" s="178">
        <v>60</v>
      </c>
      <c r="B1088" s="178" t="s">
        <v>268</v>
      </c>
      <c r="C1088" s="178">
        <v>123423026.54</v>
      </c>
      <c r="D1088" s="178">
        <v>0</v>
      </c>
      <c r="E1088" s="178">
        <v>123423026.54</v>
      </c>
      <c r="F1088" s="178">
        <v>-2154030.81</v>
      </c>
      <c r="G1088" s="178">
        <v>-2154030.81</v>
      </c>
      <c r="H1088" s="178">
        <v>125577057.35</v>
      </c>
      <c r="I1088" s="178">
        <v>125577057.35</v>
      </c>
      <c r="J1088" s="178" t="s">
        <v>497</v>
      </c>
    </row>
    <row r="1089" spans="1:10">
      <c r="A1089" s="178">
        <v>70</v>
      </c>
      <c r="B1089" s="178" t="s">
        <v>269</v>
      </c>
      <c r="C1089" s="178">
        <v>5360871.33</v>
      </c>
      <c r="D1089" s="178">
        <v>0</v>
      </c>
      <c r="E1089" s="178">
        <v>5360871.33</v>
      </c>
      <c r="F1089" s="178">
        <v>305175</v>
      </c>
      <c r="G1089" s="178">
        <v>305175</v>
      </c>
      <c r="H1089" s="178">
        <v>5055696.33</v>
      </c>
      <c r="I1089" s="178">
        <v>5055696.33</v>
      </c>
      <c r="J1089" s="178" t="s">
        <v>497</v>
      </c>
    </row>
    <row r="1090" spans="1:10">
      <c r="A1090" s="178">
        <v>80</v>
      </c>
      <c r="B1090" s="178" t="s">
        <v>560</v>
      </c>
      <c r="C1090" s="178">
        <v>0</v>
      </c>
      <c r="D1090" s="178">
        <v>0</v>
      </c>
      <c r="E1090" s="178">
        <v>0</v>
      </c>
      <c r="F1090" s="178">
        <v>0</v>
      </c>
      <c r="G1090" s="178">
        <v>0</v>
      </c>
      <c r="H1090" s="178">
        <v>0</v>
      </c>
      <c r="I1090" s="178">
        <v>0</v>
      </c>
      <c r="J1090" s="178" t="s">
        <v>497</v>
      </c>
    </row>
    <row r="1091" spans="1:10">
      <c r="A1091" s="178">
        <v>100</v>
      </c>
      <c r="B1091" s="178" t="s">
        <v>547</v>
      </c>
      <c r="C1091" s="178">
        <v>340669040.72</v>
      </c>
      <c r="D1091" s="178">
        <v>0</v>
      </c>
      <c r="E1091" s="178">
        <v>340669040.72</v>
      </c>
      <c r="F1091" s="178">
        <v>2168373.32</v>
      </c>
      <c r="G1091" s="178">
        <v>2168373.32</v>
      </c>
      <c r="H1091" s="178">
        <v>338500667.4</v>
      </c>
      <c r="I1091" s="178">
        <v>338500667.4</v>
      </c>
      <c r="J1091" s="178" t="s">
        <v>497</v>
      </c>
    </row>
    <row r="1092" spans="1:10">
      <c r="A1092" s="178">
        <v>110</v>
      </c>
      <c r="B1092" s="178" t="s">
        <v>548</v>
      </c>
      <c r="C1092" s="178">
        <v>0</v>
      </c>
      <c r="D1092" s="178">
        <v>0</v>
      </c>
      <c r="E1092" s="178">
        <v>0</v>
      </c>
      <c r="F1092" s="178">
        <v>0</v>
      </c>
      <c r="G1092" s="178">
        <v>0</v>
      </c>
      <c r="H1092" s="178">
        <v>0</v>
      </c>
      <c r="I1092" s="178">
        <v>0</v>
      </c>
      <c r="J1092" s="178" t="s">
        <v>497</v>
      </c>
    </row>
    <row r="1093" spans="1:10">
      <c r="A1093" s="178">
        <v>120</v>
      </c>
      <c r="B1093" s="178" t="s">
        <v>322</v>
      </c>
      <c r="C1093" s="178">
        <v>0</v>
      </c>
      <c r="D1093" s="178">
        <v>0</v>
      </c>
      <c r="E1093" s="178">
        <v>0</v>
      </c>
      <c r="F1093" s="178">
        <v>0</v>
      </c>
      <c r="G1093" s="178">
        <v>0</v>
      </c>
      <c r="H1093" s="178">
        <v>0</v>
      </c>
      <c r="I1093" s="178">
        <v>0</v>
      </c>
      <c r="J1093" s="178" t="s">
        <v>497</v>
      </c>
    </row>
    <row r="1094" spans="1:10">
      <c r="A1094" s="178">
        <v>130</v>
      </c>
      <c r="B1094" s="178" t="s">
        <v>282</v>
      </c>
      <c r="C1094" s="178">
        <v>0</v>
      </c>
      <c r="D1094" s="178">
        <v>0</v>
      </c>
      <c r="E1094" s="178">
        <v>0</v>
      </c>
      <c r="F1094" s="178">
        <v>0</v>
      </c>
      <c r="G1094" s="178">
        <v>0</v>
      </c>
      <c r="H1094" s="178">
        <v>0</v>
      </c>
      <c r="I1094" s="178">
        <v>0</v>
      </c>
      <c r="J1094" s="178" t="s">
        <v>497</v>
      </c>
    </row>
    <row r="1095" spans="1:10">
      <c r="A1095" s="178">
        <v>140</v>
      </c>
      <c r="B1095" s="178" t="s">
        <v>364</v>
      </c>
      <c r="C1095" s="178">
        <v>51306.34</v>
      </c>
      <c r="D1095" s="178">
        <v>0</v>
      </c>
      <c r="E1095" s="178">
        <v>51306.34</v>
      </c>
      <c r="F1095" s="178">
        <v>0</v>
      </c>
      <c r="G1095" s="178">
        <v>0</v>
      </c>
      <c r="H1095" s="178">
        <v>51306.34</v>
      </c>
      <c r="I1095" s="178">
        <v>51306.34</v>
      </c>
      <c r="J1095" s="178" t="s">
        <v>497</v>
      </c>
    </row>
    <row r="1096" spans="1:10">
      <c r="A1096" s="178">
        <v>150</v>
      </c>
      <c r="B1096" s="178" t="s">
        <v>285</v>
      </c>
      <c r="C1096" s="178">
        <v>130985.44</v>
      </c>
      <c r="D1096" s="178">
        <v>0</v>
      </c>
      <c r="E1096" s="178">
        <v>130985.44</v>
      </c>
      <c r="F1096" s="178">
        <v>0</v>
      </c>
      <c r="G1096" s="178">
        <v>0</v>
      </c>
      <c r="H1096" s="178">
        <v>130985.44</v>
      </c>
      <c r="I1096" s="178">
        <v>130985.44</v>
      </c>
      <c r="J1096" s="178" t="s">
        <v>497</v>
      </c>
    </row>
    <row r="1097" spans="1:10">
      <c r="A1097" s="178">
        <v>160</v>
      </c>
      <c r="B1097" s="178" t="s">
        <v>284</v>
      </c>
      <c r="C1097" s="178">
        <v>776233</v>
      </c>
      <c r="D1097" s="178">
        <v>0</v>
      </c>
      <c r="E1097" s="178">
        <v>776233</v>
      </c>
      <c r="F1097" s="178">
        <v>0</v>
      </c>
      <c r="G1097" s="178">
        <v>0</v>
      </c>
      <c r="H1097" s="178">
        <v>776233</v>
      </c>
      <c r="I1097" s="178">
        <v>776233</v>
      </c>
      <c r="J1097" s="178" t="s">
        <v>497</v>
      </c>
    </row>
    <row r="1098" spans="1:10">
      <c r="A1098" s="178">
        <v>170</v>
      </c>
      <c r="B1098" s="178" t="s">
        <v>283</v>
      </c>
      <c r="C1098" s="178">
        <v>169304.93</v>
      </c>
      <c r="D1098" s="178">
        <v>0</v>
      </c>
      <c r="E1098" s="178">
        <v>169304.93</v>
      </c>
      <c r="F1098" s="178">
        <v>0</v>
      </c>
      <c r="G1098" s="178">
        <v>0</v>
      </c>
      <c r="H1098" s="178">
        <v>169304.93</v>
      </c>
      <c r="I1098" s="178">
        <v>169304.93</v>
      </c>
      <c r="J1098" s="178" t="s">
        <v>497</v>
      </c>
    </row>
    <row r="1099" spans="1:10">
      <c r="A1099" s="178">
        <v>180</v>
      </c>
      <c r="B1099" s="178" t="s">
        <v>366</v>
      </c>
      <c r="C1099" s="178">
        <v>0</v>
      </c>
      <c r="D1099" s="178">
        <v>0</v>
      </c>
      <c r="E1099" s="178">
        <v>0</v>
      </c>
      <c r="F1099" s="178">
        <v>0</v>
      </c>
      <c r="G1099" s="178">
        <v>0</v>
      </c>
      <c r="H1099" s="178">
        <v>0</v>
      </c>
      <c r="I1099" s="178">
        <v>0</v>
      </c>
      <c r="J1099" s="178" t="s">
        <v>497</v>
      </c>
    </row>
    <row r="1100" spans="1:10">
      <c r="A1100" s="178">
        <v>190</v>
      </c>
      <c r="B1100" s="178" t="s">
        <v>367</v>
      </c>
      <c r="C1100" s="178">
        <v>-485714.28</v>
      </c>
      <c r="D1100" s="178">
        <v>0</v>
      </c>
      <c r="E1100" s="178">
        <v>-485714.28</v>
      </c>
      <c r="F1100" s="178">
        <v>-6875.67</v>
      </c>
      <c r="G1100" s="178">
        <v>-6875.67</v>
      </c>
      <c r="H1100" s="178">
        <v>-478838.61</v>
      </c>
      <c r="I1100" s="178">
        <v>-478838.61</v>
      </c>
      <c r="J1100" s="178" t="s">
        <v>497</v>
      </c>
    </row>
    <row r="1101" spans="1:10">
      <c r="A1101" s="178">
        <v>200</v>
      </c>
      <c r="B1101" s="178" t="s">
        <v>368</v>
      </c>
      <c r="C1101" s="178">
        <v>642115.43</v>
      </c>
      <c r="D1101" s="178">
        <v>0</v>
      </c>
      <c r="E1101" s="178">
        <v>642115.43</v>
      </c>
      <c r="F1101" s="178">
        <v>-6875.67</v>
      </c>
      <c r="G1101" s="178">
        <v>-6875.67</v>
      </c>
      <c r="H1101" s="178">
        <v>648991.1</v>
      </c>
      <c r="I1101" s="178">
        <v>648991.1</v>
      </c>
      <c r="J1101" s="178" t="s">
        <v>497</v>
      </c>
    </row>
    <row r="1102" spans="1:10">
      <c r="A1102" s="178">
        <v>210</v>
      </c>
      <c r="B1102" s="178" t="s">
        <v>549</v>
      </c>
      <c r="C1102" s="178">
        <v>0</v>
      </c>
      <c r="D1102" s="178">
        <v>0</v>
      </c>
      <c r="E1102" s="178">
        <v>0</v>
      </c>
      <c r="F1102" s="178">
        <v>0</v>
      </c>
      <c r="G1102" s="178">
        <v>0</v>
      </c>
      <c r="H1102" s="178">
        <v>0</v>
      </c>
      <c r="I1102" s="178">
        <v>0</v>
      </c>
      <c r="J1102" s="178" t="s">
        <v>497</v>
      </c>
    </row>
    <row r="1103" spans="1:10">
      <c r="A1103" s="178">
        <v>220</v>
      </c>
      <c r="B1103" s="178" t="s">
        <v>370</v>
      </c>
      <c r="C1103" s="178">
        <v>29843.84</v>
      </c>
      <c r="D1103" s="178">
        <v>0</v>
      </c>
      <c r="E1103" s="178">
        <v>29843.84</v>
      </c>
      <c r="F1103" s="178">
        <v>0</v>
      </c>
      <c r="G1103" s="178">
        <v>0</v>
      </c>
      <c r="H1103" s="178">
        <v>29843.84</v>
      </c>
      <c r="I1103" s="178">
        <v>29843.84</v>
      </c>
      <c r="J1103" s="178" t="s">
        <v>497</v>
      </c>
    </row>
    <row r="1104" spans="1:10">
      <c r="A1104" s="178">
        <v>230</v>
      </c>
      <c r="B1104" s="178" t="s">
        <v>371</v>
      </c>
      <c r="C1104" s="178">
        <v>35297829.62</v>
      </c>
      <c r="D1104" s="178">
        <v>0</v>
      </c>
      <c r="E1104" s="178">
        <v>35297829.62</v>
      </c>
      <c r="F1104" s="178">
        <v>0</v>
      </c>
      <c r="G1104" s="178">
        <v>0</v>
      </c>
      <c r="H1104" s="178">
        <v>35297829.62</v>
      </c>
      <c r="I1104" s="178">
        <v>35297829.62</v>
      </c>
      <c r="J1104" s="178" t="s">
        <v>497</v>
      </c>
    </row>
    <row r="1105" spans="1:10">
      <c r="A1105" s="178">
        <v>240</v>
      </c>
      <c r="B1105" s="178" t="s">
        <v>372</v>
      </c>
      <c r="C1105" s="178">
        <v>0</v>
      </c>
      <c r="D1105" s="178">
        <v>0</v>
      </c>
      <c r="E1105" s="178">
        <v>0</v>
      </c>
      <c r="F1105" s="178">
        <v>0</v>
      </c>
      <c r="G1105" s="178">
        <v>0</v>
      </c>
      <c r="H1105" s="178">
        <v>0</v>
      </c>
      <c r="I1105" s="178">
        <v>0</v>
      </c>
      <c r="J1105" s="178" t="s">
        <v>497</v>
      </c>
    </row>
    <row r="1106" spans="1:10">
      <c r="A1106" s="178">
        <v>250</v>
      </c>
      <c r="B1106" s="178" t="s">
        <v>373</v>
      </c>
      <c r="C1106" s="178">
        <v>35327673.46</v>
      </c>
      <c r="D1106" s="178">
        <v>0</v>
      </c>
      <c r="E1106" s="178">
        <v>35327673.46</v>
      </c>
      <c r="F1106" s="178">
        <v>0</v>
      </c>
      <c r="G1106" s="178">
        <v>0</v>
      </c>
      <c r="H1106" s="178">
        <v>35327673.46</v>
      </c>
      <c r="I1106" s="178">
        <v>35327673.46</v>
      </c>
      <c r="J1106" s="178" t="s">
        <v>497</v>
      </c>
    </row>
    <row r="1107" spans="1:10">
      <c r="A1107" s="178">
        <v>260</v>
      </c>
      <c r="B1107" s="178" t="s">
        <v>374</v>
      </c>
      <c r="C1107" s="178">
        <v>0</v>
      </c>
      <c r="D1107" s="178">
        <v>0</v>
      </c>
      <c r="E1107" s="178">
        <v>0</v>
      </c>
      <c r="F1107" s="178">
        <v>0</v>
      </c>
      <c r="G1107" s="178">
        <v>0</v>
      </c>
      <c r="H1107" s="178">
        <v>0</v>
      </c>
      <c r="I1107" s="178">
        <v>0</v>
      </c>
      <c r="J1107" s="178" t="s">
        <v>497</v>
      </c>
    </row>
    <row r="1108" spans="1:10">
      <c r="A1108" s="178">
        <v>270</v>
      </c>
      <c r="B1108" s="178" t="s">
        <v>375</v>
      </c>
      <c r="C1108" s="178">
        <v>0</v>
      </c>
      <c r="D1108" s="178">
        <v>0</v>
      </c>
      <c r="E1108" s="178">
        <v>0</v>
      </c>
      <c r="F1108" s="178">
        <v>0</v>
      </c>
      <c r="G1108" s="178">
        <v>0</v>
      </c>
      <c r="H1108" s="178">
        <v>0</v>
      </c>
      <c r="I1108" s="178">
        <v>0</v>
      </c>
      <c r="J1108" s="178" t="s">
        <v>497</v>
      </c>
    </row>
    <row r="1109" spans="1:10">
      <c r="A1109" s="178">
        <v>280</v>
      </c>
      <c r="B1109" s="178" t="s">
        <v>550</v>
      </c>
      <c r="C1109" s="178">
        <v>0</v>
      </c>
      <c r="D1109" s="178">
        <v>0</v>
      </c>
      <c r="E1109" s="178">
        <v>0</v>
      </c>
      <c r="F1109" s="178">
        <v>0</v>
      </c>
      <c r="G1109" s="178">
        <v>0</v>
      </c>
      <c r="H1109" s="178">
        <v>0</v>
      </c>
      <c r="I1109" s="178">
        <v>0</v>
      </c>
      <c r="J1109" s="178" t="s">
        <v>497</v>
      </c>
    </row>
    <row r="1110" spans="1:10">
      <c r="A1110" s="178">
        <v>400</v>
      </c>
      <c r="B1110" s="178" t="s">
        <v>377</v>
      </c>
      <c r="C1110" s="178">
        <v>376638829.61</v>
      </c>
      <c r="D1110" s="178">
        <v>0</v>
      </c>
      <c r="E1110" s="178">
        <v>376638829.61</v>
      </c>
      <c r="F1110" s="178">
        <v>2161497.65</v>
      </c>
      <c r="G1110" s="178">
        <v>2161497.65</v>
      </c>
      <c r="H1110" s="178">
        <v>374477331.96</v>
      </c>
      <c r="I1110" s="178">
        <v>374477331.96</v>
      </c>
      <c r="J1110" s="178" t="s">
        <v>497</v>
      </c>
    </row>
    <row r="1111" spans="1:10">
      <c r="A1111" s="178">
        <v>410</v>
      </c>
      <c r="B1111" s="178" t="s">
        <v>551</v>
      </c>
      <c r="C1111" s="178">
        <v>0</v>
      </c>
      <c r="D1111" s="178">
        <v>0</v>
      </c>
      <c r="E1111" s="178">
        <v>0</v>
      </c>
      <c r="F1111" s="178">
        <v>0</v>
      </c>
      <c r="G1111" s="178">
        <v>0</v>
      </c>
      <c r="H1111" s="178">
        <v>0</v>
      </c>
      <c r="I1111" s="178">
        <v>0</v>
      </c>
      <c r="J1111" s="178" t="s">
        <v>497</v>
      </c>
    </row>
    <row r="1112" spans="1:10">
      <c r="A1112" s="178">
        <v>420</v>
      </c>
      <c r="B1112" s="178" t="s">
        <v>270</v>
      </c>
      <c r="C1112" s="178">
        <v>0</v>
      </c>
      <c r="D1112" s="178">
        <v>0</v>
      </c>
      <c r="E1112" s="178">
        <v>0</v>
      </c>
      <c r="F1112" s="178">
        <v>0</v>
      </c>
      <c r="G1112" s="178">
        <v>0</v>
      </c>
      <c r="H1112" s="178">
        <v>0</v>
      </c>
      <c r="I1112" s="178">
        <v>0</v>
      </c>
      <c r="J1112" s="178" t="s">
        <v>497</v>
      </c>
    </row>
    <row r="1113" spans="1:10">
      <c r="A1113" s="178">
        <v>430</v>
      </c>
      <c r="B1113" s="178" t="s">
        <v>379</v>
      </c>
      <c r="C1113" s="178">
        <v>8037980.58</v>
      </c>
      <c r="D1113" s="178">
        <v>0</v>
      </c>
      <c r="E1113" s="178">
        <v>8037980.58</v>
      </c>
      <c r="F1113" s="178">
        <v>-818623.21</v>
      </c>
      <c r="G1113" s="178">
        <v>-818623.21</v>
      </c>
      <c r="H1113" s="178">
        <v>8856603.79</v>
      </c>
      <c r="I1113" s="178">
        <v>8856603.79</v>
      </c>
      <c r="J1113" s="178" t="s">
        <v>497</v>
      </c>
    </row>
    <row r="1114" spans="1:10">
      <c r="A1114" s="178">
        <v>440</v>
      </c>
      <c r="B1114" s="178" t="s">
        <v>380</v>
      </c>
      <c r="C1114" s="178">
        <v>0</v>
      </c>
      <c r="D1114" s="178">
        <v>0</v>
      </c>
      <c r="E1114" s="178">
        <v>0</v>
      </c>
      <c r="F1114" s="178">
        <v>0</v>
      </c>
      <c r="G1114" s="178">
        <v>0</v>
      </c>
      <c r="H1114" s="178">
        <v>0</v>
      </c>
      <c r="I1114" s="178">
        <v>0</v>
      </c>
      <c r="J1114" s="178" t="s">
        <v>497</v>
      </c>
    </row>
    <row r="1115" spans="1:10">
      <c r="A1115" s="178">
        <v>450</v>
      </c>
      <c r="B1115" s="178" t="s">
        <v>381</v>
      </c>
      <c r="C1115" s="178">
        <v>2793341.73</v>
      </c>
      <c r="D1115" s="178">
        <v>0</v>
      </c>
      <c r="E1115" s="178">
        <v>2793341.73</v>
      </c>
      <c r="F1115" s="178">
        <v>-124893.18</v>
      </c>
      <c r="G1115" s="178">
        <v>-124893.18</v>
      </c>
      <c r="H1115" s="178">
        <v>2918234.91</v>
      </c>
      <c r="I1115" s="178">
        <v>2918234.91</v>
      </c>
      <c r="J1115" s="178" t="s">
        <v>497</v>
      </c>
    </row>
    <row r="1116" spans="1:10">
      <c r="A1116" s="178">
        <v>460</v>
      </c>
      <c r="B1116" s="178" t="s">
        <v>553</v>
      </c>
      <c r="C1116" s="178">
        <v>0</v>
      </c>
      <c r="D1116" s="178">
        <v>0</v>
      </c>
      <c r="E1116" s="178">
        <v>0</v>
      </c>
      <c r="F1116" s="178">
        <v>0</v>
      </c>
      <c r="G1116" s="178">
        <v>0</v>
      </c>
      <c r="H1116" s="178">
        <v>0</v>
      </c>
      <c r="I1116" s="178">
        <v>0</v>
      </c>
      <c r="J1116" s="178" t="s">
        <v>497</v>
      </c>
    </row>
    <row r="1117" spans="1:10">
      <c r="A1117" s="178">
        <v>500</v>
      </c>
      <c r="B1117" s="178" t="s">
        <v>383</v>
      </c>
      <c r="C1117" s="178">
        <v>10831322.31</v>
      </c>
      <c r="D1117" s="178">
        <v>0</v>
      </c>
      <c r="E1117" s="178">
        <v>10831322.31</v>
      </c>
      <c r="F1117" s="178">
        <v>-943516.39</v>
      </c>
      <c r="G1117" s="178">
        <v>-943516.39</v>
      </c>
      <c r="H1117" s="178">
        <v>11774838.7</v>
      </c>
      <c r="I1117" s="178">
        <v>11774838.7</v>
      </c>
      <c r="J1117" s="178" t="s">
        <v>497</v>
      </c>
    </row>
    <row r="1118" spans="1:10">
      <c r="A1118" s="178">
        <v>510</v>
      </c>
      <c r="B1118" s="178" t="s">
        <v>554</v>
      </c>
      <c r="C1118" s="178">
        <v>0</v>
      </c>
      <c r="D1118" s="178">
        <v>0</v>
      </c>
      <c r="E1118" s="178">
        <v>0</v>
      </c>
      <c r="F1118" s="178">
        <v>0</v>
      </c>
      <c r="G1118" s="178">
        <v>0</v>
      </c>
      <c r="H1118" s="178">
        <v>0</v>
      </c>
      <c r="I1118" s="178">
        <v>0</v>
      </c>
      <c r="J1118" s="178" t="s">
        <v>497</v>
      </c>
    </row>
    <row r="1119" spans="1:10">
      <c r="A1119" s="178">
        <v>520</v>
      </c>
      <c r="B1119" s="178" t="s">
        <v>385</v>
      </c>
      <c r="C1119" s="178">
        <v>0</v>
      </c>
      <c r="D1119" s="178">
        <v>0</v>
      </c>
      <c r="E1119" s="178">
        <v>0</v>
      </c>
      <c r="F1119" s="178">
        <v>0</v>
      </c>
      <c r="G1119" s="178">
        <v>0</v>
      </c>
      <c r="H1119" s="178">
        <v>0</v>
      </c>
      <c r="I1119" s="178">
        <v>0</v>
      </c>
      <c r="J1119" s="178" t="s">
        <v>497</v>
      </c>
    </row>
    <row r="1120" spans="1:10">
      <c r="A1120" s="178">
        <v>530</v>
      </c>
      <c r="B1120" s="178" t="s">
        <v>386</v>
      </c>
      <c r="C1120" s="178">
        <v>0</v>
      </c>
      <c r="D1120" s="178">
        <v>0</v>
      </c>
      <c r="E1120" s="178">
        <v>0</v>
      </c>
      <c r="F1120" s="178">
        <v>0</v>
      </c>
      <c r="G1120" s="178">
        <v>0</v>
      </c>
      <c r="H1120" s="178">
        <v>0</v>
      </c>
      <c r="I1120" s="178">
        <v>0</v>
      </c>
      <c r="J1120" s="178" t="s">
        <v>497</v>
      </c>
    </row>
    <row r="1121" spans="1:10">
      <c r="A1121" s="178">
        <v>540</v>
      </c>
      <c r="B1121" s="178" t="s">
        <v>387</v>
      </c>
      <c r="C1121" s="178">
        <v>0</v>
      </c>
      <c r="D1121" s="178">
        <v>0</v>
      </c>
      <c r="E1121" s="178">
        <v>0</v>
      </c>
      <c r="F1121" s="178">
        <v>0</v>
      </c>
      <c r="G1121" s="178">
        <v>0</v>
      </c>
      <c r="H1121" s="178">
        <v>0</v>
      </c>
      <c r="I1121" s="178">
        <v>0</v>
      </c>
      <c r="J1121" s="178" t="s">
        <v>497</v>
      </c>
    </row>
    <row r="1122" spans="1:10">
      <c r="A1122" s="178">
        <v>600</v>
      </c>
      <c r="B1122" s="178" t="s">
        <v>388</v>
      </c>
      <c r="C1122" s="178">
        <v>0</v>
      </c>
      <c r="D1122" s="178">
        <v>0</v>
      </c>
      <c r="E1122" s="178">
        <v>0</v>
      </c>
      <c r="F1122" s="178">
        <v>0</v>
      </c>
      <c r="G1122" s="178">
        <v>0</v>
      </c>
      <c r="H1122" s="178">
        <v>0</v>
      </c>
      <c r="I1122" s="178">
        <v>0</v>
      </c>
      <c r="J1122" s="178" t="s">
        <v>497</v>
      </c>
    </row>
    <row r="1123" spans="1:10">
      <c r="A1123" s="178">
        <v>610</v>
      </c>
      <c r="B1123" s="178" t="s">
        <v>556</v>
      </c>
      <c r="C1123" s="178">
        <v>0</v>
      </c>
      <c r="D1123" s="178">
        <v>0</v>
      </c>
      <c r="E1123" s="178">
        <v>0</v>
      </c>
      <c r="F1123" s="178">
        <v>0</v>
      </c>
      <c r="G1123" s="178">
        <v>0</v>
      </c>
      <c r="H1123" s="178">
        <v>0</v>
      </c>
      <c r="I1123" s="178">
        <v>0</v>
      </c>
      <c r="J1123" s="178" t="s">
        <v>497</v>
      </c>
    </row>
    <row r="1124" spans="1:10">
      <c r="A1124" s="178">
        <v>620</v>
      </c>
      <c r="B1124" s="178" t="s">
        <v>390</v>
      </c>
      <c r="C1124" s="178">
        <v>61671976.85</v>
      </c>
      <c r="D1124" s="178">
        <v>0</v>
      </c>
      <c r="E1124" s="178">
        <v>61671976.85</v>
      </c>
      <c r="F1124" s="178">
        <v>667374.66</v>
      </c>
      <c r="G1124" s="178">
        <v>667374.66</v>
      </c>
      <c r="H1124" s="178">
        <v>61004602.19</v>
      </c>
      <c r="I1124" s="178">
        <v>61004602.19</v>
      </c>
      <c r="J1124" s="178" t="s">
        <v>497</v>
      </c>
    </row>
    <row r="1125" spans="1:10">
      <c r="A1125" s="178">
        <v>700</v>
      </c>
      <c r="B1125" s="178" t="s">
        <v>557</v>
      </c>
      <c r="C1125" s="178">
        <v>61671976.85</v>
      </c>
      <c r="D1125" s="178">
        <v>0</v>
      </c>
      <c r="E1125" s="178">
        <v>61671976.85</v>
      </c>
      <c r="F1125" s="178">
        <v>667374.66</v>
      </c>
      <c r="G1125" s="178">
        <v>667374.66</v>
      </c>
      <c r="H1125" s="178">
        <v>61004602.19</v>
      </c>
      <c r="I1125" s="178">
        <v>61004602.19</v>
      </c>
      <c r="J1125" s="178" t="s">
        <v>497</v>
      </c>
    </row>
    <row r="1126" spans="1:10">
      <c r="A1126" s="178">
        <v>710</v>
      </c>
      <c r="B1126" s="178" t="s">
        <v>558</v>
      </c>
      <c r="C1126" s="178">
        <v>0</v>
      </c>
      <c r="D1126" s="178">
        <v>0</v>
      </c>
      <c r="E1126" s="178">
        <v>0</v>
      </c>
      <c r="F1126" s="178">
        <v>0</v>
      </c>
      <c r="G1126" s="178">
        <v>0</v>
      </c>
      <c r="H1126" s="178">
        <v>0</v>
      </c>
      <c r="I1126" s="178">
        <v>0</v>
      </c>
      <c r="J1126" s="178" t="s">
        <v>497</v>
      </c>
    </row>
    <row r="1127" spans="1:10">
      <c r="A1127" s="178">
        <v>720</v>
      </c>
      <c r="B1127" s="178" t="s">
        <v>276</v>
      </c>
      <c r="C1127" s="178">
        <v>44066631.25</v>
      </c>
      <c r="D1127" s="178">
        <v>0</v>
      </c>
      <c r="E1127" s="178">
        <v>44066631.25</v>
      </c>
      <c r="F1127" s="178">
        <v>0</v>
      </c>
      <c r="G1127" s="178">
        <v>0</v>
      </c>
      <c r="H1127" s="178">
        <v>44066631.25</v>
      </c>
      <c r="I1127" s="178">
        <v>44066631.25</v>
      </c>
      <c r="J1127" s="178" t="s">
        <v>497</v>
      </c>
    </row>
    <row r="1128" spans="1:10">
      <c r="A1128" s="178">
        <v>730</v>
      </c>
      <c r="B1128" s="178" t="s">
        <v>393</v>
      </c>
      <c r="C1128" s="178">
        <v>1417746.79</v>
      </c>
      <c r="D1128" s="178">
        <v>0</v>
      </c>
      <c r="E1128" s="178">
        <v>1417746.79</v>
      </c>
      <c r="F1128" s="178">
        <v>0</v>
      </c>
      <c r="G1128" s="178">
        <v>0</v>
      </c>
      <c r="H1128" s="178">
        <v>1417746.79</v>
      </c>
      <c r="I1128" s="178">
        <v>1417746.79</v>
      </c>
      <c r="J1128" s="178" t="s">
        <v>497</v>
      </c>
    </row>
    <row r="1129" spans="1:10">
      <c r="A1129" s="178">
        <v>740</v>
      </c>
      <c r="B1129" s="178" t="s">
        <v>394</v>
      </c>
      <c r="C1129" s="178">
        <v>256254605.17</v>
      </c>
      <c r="D1129" s="178">
        <v>0</v>
      </c>
      <c r="E1129" s="178">
        <v>256254605.17</v>
      </c>
      <c r="F1129" s="178">
        <v>0</v>
      </c>
      <c r="G1129" s="178">
        <v>0</v>
      </c>
      <c r="H1129" s="178">
        <v>225520300.67</v>
      </c>
      <c r="I1129" s="178">
        <v>256254605.17</v>
      </c>
      <c r="J1129" s="178" t="s">
        <v>497</v>
      </c>
    </row>
    <row r="1130" spans="1:10">
      <c r="A1130" s="178">
        <v>750</v>
      </c>
      <c r="B1130" s="178" t="s">
        <v>395</v>
      </c>
      <c r="C1130" s="178">
        <v>2437639.38</v>
      </c>
      <c r="D1130" s="178">
        <v>2516485</v>
      </c>
      <c r="E1130" s="178">
        <v>-78845.62</v>
      </c>
      <c r="F1130" s="178">
        <v>2437639.38</v>
      </c>
      <c r="G1130" s="178">
        <v>2437639.38</v>
      </c>
      <c r="H1130" s="178">
        <v>30734304.5</v>
      </c>
      <c r="I1130" s="178">
        <v>0</v>
      </c>
      <c r="J1130" s="178" t="s">
        <v>497</v>
      </c>
    </row>
    <row r="1131" spans="1:10">
      <c r="A1131" s="178">
        <v>760</v>
      </c>
      <c r="B1131" s="178" t="s">
        <v>396</v>
      </c>
      <c r="C1131" s="178">
        <v>-41092.14</v>
      </c>
      <c r="D1131" s="178">
        <v>0</v>
      </c>
      <c r="E1131" s="178">
        <v>-41092.14</v>
      </c>
      <c r="F1131" s="178">
        <v>0</v>
      </c>
      <c r="G1131" s="178">
        <v>0</v>
      </c>
      <c r="H1131" s="178">
        <v>-41092.14</v>
      </c>
      <c r="I1131" s="178">
        <v>-41092.14</v>
      </c>
      <c r="J1131" s="178" t="s">
        <v>497</v>
      </c>
    </row>
    <row r="1132" spans="1:10">
      <c r="A1132" s="178">
        <v>770</v>
      </c>
      <c r="B1132" s="178" t="s">
        <v>397</v>
      </c>
      <c r="C1132" s="178">
        <v>0</v>
      </c>
      <c r="D1132" s="178">
        <v>0</v>
      </c>
      <c r="E1132" s="178">
        <v>0</v>
      </c>
      <c r="F1132" s="178">
        <v>0</v>
      </c>
      <c r="G1132" s="178">
        <v>0</v>
      </c>
      <c r="H1132" s="178">
        <v>0</v>
      </c>
      <c r="I1132" s="178">
        <v>0</v>
      </c>
      <c r="J1132" s="178" t="s">
        <v>497</v>
      </c>
    </row>
    <row r="1133" spans="1:10">
      <c r="A1133" s="178">
        <v>800</v>
      </c>
      <c r="B1133" s="178" t="s">
        <v>398</v>
      </c>
      <c r="C1133" s="178">
        <v>304135530.45</v>
      </c>
      <c r="D1133" s="178">
        <v>2516485</v>
      </c>
      <c r="E1133" s="178">
        <v>301619045.45</v>
      </c>
      <c r="F1133" s="178">
        <v>2437639.38</v>
      </c>
      <c r="G1133" s="178">
        <v>2437639.38</v>
      </c>
      <c r="H1133" s="178">
        <v>301697891.07</v>
      </c>
      <c r="I1133" s="178">
        <v>301697891.07</v>
      </c>
      <c r="J1133" s="178" t="s">
        <v>497</v>
      </c>
    </row>
    <row r="1134" spans="1:10">
      <c r="A1134" s="178">
        <v>900</v>
      </c>
      <c r="B1134" s="178" t="s">
        <v>399</v>
      </c>
      <c r="C1134" s="178">
        <v>376638829.61</v>
      </c>
      <c r="D1134" s="178">
        <v>2516485</v>
      </c>
      <c r="E1134" s="178">
        <v>374122344.61</v>
      </c>
      <c r="F1134" s="178">
        <v>2161497.65</v>
      </c>
      <c r="G1134" s="178">
        <v>2161497.65</v>
      </c>
      <c r="H1134" s="178">
        <v>374477331.96</v>
      </c>
      <c r="I1134" s="178">
        <v>374477331.96</v>
      </c>
      <c r="J1134" s="178" t="s">
        <v>497</v>
      </c>
    </row>
    <row r="1135" spans="1:10">
      <c r="A1135" s="178">
        <v>1000</v>
      </c>
      <c r="B1135" s="178" t="s">
        <v>559</v>
      </c>
      <c r="C1135" s="178">
        <v>0</v>
      </c>
      <c r="D1135" s="178">
        <v>-2516485</v>
      </c>
      <c r="E1135" s="178">
        <v>2516485</v>
      </c>
      <c r="F1135" s="178">
        <v>0</v>
      </c>
      <c r="G1135" s="178">
        <v>0</v>
      </c>
      <c r="H1135" s="178">
        <v>0</v>
      </c>
      <c r="I1135" s="178">
        <v>0</v>
      </c>
      <c r="J1135" s="178" t="s">
        <v>497</v>
      </c>
    </row>
    <row r="1136" spans="1:10">
      <c r="A1136" s="178" t="s">
        <v>455</v>
      </c>
      <c r="B1136" s="178" t="s">
        <v>402</v>
      </c>
      <c r="C1136" s="178" t="s">
        <v>538</v>
      </c>
      <c r="D1136" s="178" t="s">
        <v>539</v>
      </c>
      <c r="E1136" s="178" t="s">
        <v>540</v>
      </c>
      <c r="F1136" s="178" t="s">
        <v>541</v>
      </c>
      <c r="G1136" s="178" t="s">
        <v>542</v>
      </c>
      <c r="H1136" s="178" t="s">
        <v>543</v>
      </c>
      <c r="I1136" s="178" t="s">
        <v>544</v>
      </c>
      <c r="J1136" s="178" t="s">
        <v>405</v>
      </c>
    </row>
    <row r="1137" spans="1:10">
      <c r="A1137" s="178">
        <v>10</v>
      </c>
      <c r="B1137" s="178" t="s">
        <v>545</v>
      </c>
      <c r="C1137" s="178">
        <v>0</v>
      </c>
      <c r="D1137" s="178">
        <v>0</v>
      </c>
      <c r="E1137" s="178">
        <v>0</v>
      </c>
      <c r="F1137" s="178">
        <v>0</v>
      </c>
      <c r="G1137" s="178">
        <v>0</v>
      </c>
      <c r="H1137" s="178">
        <v>0</v>
      </c>
      <c r="I1137" s="178">
        <v>0</v>
      </c>
      <c r="J1137" s="178" t="s">
        <v>497</v>
      </c>
    </row>
    <row r="1138" spans="1:10">
      <c r="A1138" s="178">
        <v>20</v>
      </c>
      <c r="B1138" s="178" t="s">
        <v>563</v>
      </c>
      <c r="C1138" s="178">
        <v>6898.14</v>
      </c>
      <c r="D1138" s="178">
        <v>266588</v>
      </c>
      <c r="E1138" s="178">
        <v>-259689.86</v>
      </c>
      <c r="F1138" s="178">
        <v>-286786.16</v>
      </c>
      <c r="G1138" s="178">
        <v>-286786.16</v>
      </c>
      <c r="H1138" s="178">
        <v>293684.3</v>
      </c>
      <c r="I1138" s="178">
        <v>293684.3</v>
      </c>
      <c r="J1138" s="178" t="s">
        <v>497</v>
      </c>
    </row>
    <row r="1139" spans="1:10">
      <c r="A1139" s="178">
        <v>30</v>
      </c>
      <c r="B1139" s="178" t="s">
        <v>564</v>
      </c>
      <c r="C1139" s="178">
        <v>0</v>
      </c>
      <c r="D1139" s="178">
        <v>0</v>
      </c>
      <c r="E1139" s="178">
        <v>0</v>
      </c>
      <c r="F1139" s="178">
        <v>0</v>
      </c>
      <c r="G1139" s="178">
        <v>0</v>
      </c>
      <c r="H1139" s="178">
        <v>0</v>
      </c>
      <c r="I1139" s="178">
        <v>0</v>
      </c>
      <c r="J1139" s="178" t="s">
        <v>497</v>
      </c>
    </row>
    <row r="1140" spans="1:10">
      <c r="A1140" s="178">
        <v>40</v>
      </c>
      <c r="B1140" s="178" t="s">
        <v>565</v>
      </c>
      <c r="C1140" s="178">
        <v>25712.32</v>
      </c>
      <c r="D1140" s="178">
        <v>22216</v>
      </c>
      <c r="E1140" s="178">
        <v>3496.32</v>
      </c>
      <c r="F1140" s="178">
        <v>14750.84</v>
      </c>
      <c r="G1140" s="178">
        <v>14750.84</v>
      </c>
      <c r="H1140" s="178">
        <v>10961.48</v>
      </c>
      <c r="I1140" s="178">
        <v>10961.48</v>
      </c>
      <c r="J1140" s="178" t="s">
        <v>497</v>
      </c>
    </row>
    <row r="1141" spans="1:10">
      <c r="A1141" s="178">
        <v>50</v>
      </c>
      <c r="B1141" s="178" t="s">
        <v>566</v>
      </c>
      <c r="C1141" s="178">
        <v>0</v>
      </c>
      <c r="D1141" s="178">
        <v>0</v>
      </c>
      <c r="E1141" s="178">
        <v>0</v>
      </c>
      <c r="F1141" s="178">
        <v>0</v>
      </c>
      <c r="G1141" s="178">
        <v>0</v>
      </c>
      <c r="H1141" s="178">
        <v>0</v>
      </c>
      <c r="I1141" s="178">
        <v>0</v>
      </c>
      <c r="J1141" s="178" t="s">
        <v>497</v>
      </c>
    </row>
    <row r="1142" spans="1:10">
      <c r="A1142" s="178">
        <v>60</v>
      </c>
      <c r="B1142" s="178" t="s">
        <v>268</v>
      </c>
      <c r="C1142" s="178">
        <v>34482.82</v>
      </c>
      <c r="D1142" s="178">
        <v>41055</v>
      </c>
      <c r="E1142" s="178">
        <v>-6572.18</v>
      </c>
      <c r="F1142" s="178">
        <v>-2056.96</v>
      </c>
      <c r="G1142" s="178">
        <v>-2056.96</v>
      </c>
      <c r="H1142" s="178">
        <v>36539.78</v>
      </c>
      <c r="I1142" s="178">
        <v>36539.78</v>
      </c>
      <c r="J1142" s="178" t="s">
        <v>497</v>
      </c>
    </row>
    <row r="1143" spans="1:10">
      <c r="A1143" s="178">
        <v>70</v>
      </c>
      <c r="B1143" s="178" t="s">
        <v>567</v>
      </c>
      <c r="C1143" s="178">
        <v>44789.17</v>
      </c>
      <c r="D1143" s="178">
        <v>0</v>
      </c>
      <c r="E1143" s="178">
        <v>44789.17</v>
      </c>
      <c r="F1143" s="178">
        <v>9344.57</v>
      </c>
      <c r="G1143" s="178">
        <v>9344.57</v>
      </c>
      <c r="H1143" s="178">
        <v>35444.6</v>
      </c>
      <c r="I1143" s="178">
        <v>35444.6</v>
      </c>
      <c r="J1143" s="178" t="s">
        <v>497</v>
      </c>
    </row>
    <row r="1144" spans="1:10">
      <c r="A1144" s="178">
        <v>80</v>
      </c>
      <c r="B1144" s="178" t="s">
        <v>568</v>
      </c>
      <c r="C1144" s="178">
        <v>4408.4</v>
      </c>
      <c r="D1144" s="178">
        <v>53318</v>
      </c>
      <c r="E1144" s="178">
        <v>-48909.6</v>
      </c>
      <c r="F1144" s="178">
        <v>0</v>
      </c>
      <c r="G1144" s="178">
        <v>0</v>
      </c>
      <c r="H1144" s="178">
        <v>4408.4</v>
      </c>
      <c r="I1144" s="178">
        <v>4408.4</v>
      </c>
      <c r="J1144" s="178" t="s">
        <v>497</v>
      </c>
    </row>
    <row r="1145" spans="1:10">
      <c r="A1145" s="178">
        <v>100</v>
      </c>
      <c r="B1145" s="178" t="s">
        <v>569</v>
      </c>
      <c r="C1145" s="178">
        <v>116290.85</v>
      </c>
      <c r="D1145" s="178">
        <v>383177</v>
      </c>
      <c r="E1145" s="178">
        <v>-266886.15</v>
      </c>
      <c r="F1145" s="178">
        <v>-264747.71</v>
      </c>
      <c r="G1145" s="178">
        <v>-264747.71</v>
      </c>
      <c r="H1145" s="178">
        <v>381038.56</v>
      </c>
      <c r="I1145" s="178">
        <v>381038.56</v>
      </c>
      <c r="J1145" s="178" t="s">
        <v>497</v>
      </c>
    </row>
    <row r="1146" spans="1:10">
      <c r="A1146" s="178">
        <v>110</v>
      </c>
      <c r="B1146" s="178" t="s">
        <v>570</v>
      </c>
      <c r="C1146" s="178">
        <v>0</v>
      </c>
      <c r="D1146" s="178">
        <v>0</v>
      </c>
      <c r="E1146" s="178">
        <v>0</v>
      </c>
      <c r="F1146" s="178">
        <v>0</v>
      </c>
      <c r="G1146" s="178">
        <v>0</v>
      </c>
      <c r="H1146" s="178">
        <v>0</v>
      </c>
      <c r="I1146" s="178">
        <v>0</v>
      </c>
      <c r="J1146" s="178" t="s">
        <v>497</v>
      </c>
    </row>
    <row r="1147" spans="1:10">
      <c r="A1147" s="178">
        <v>120</v>
      </c>
      <c r="B1147" s="178" t="s">
        <v>571</v>
      </c>
      <c r="C1147" s="178">
        <v>0</v>
      </c>
      <c r="D1147" s="178">
        <v>0</v>
      </c>
      <c r="E1147" s="178">
        <v>0</v>
      </c>
      <c r="F1147" s="178">
        <v>0</v>
      </c>
      <c r="G1147" s="178">
        <v>0</v>
      </c>
      <c r="H1147" s="178">
        <v>0</v>
      </c>
      <c r="I1147" s="178">
        <v>0</v>
      </c>
      <c r="J1147" s="178" t="s">
        <v>497</v>
      </c>
    </row>
    <row r="1148" spans="1:10">
      <c r="A1148" s="178">
        <v>130</v>
      </c>
      <c r="B1148" s="178" t="s">
        <v>572</v>
      </c>
      <c r="C1148" s="178">
        <v>0</v>
      </c>
      <c r="D1148" s="178">
        <v>0</v>
      </c>
      <c r="E1148" s="178">
        <v>0</v>
      </c>
      <c r="F1148" s="178">
        <v>0</v>
      </c>
      <c r="G1148" s="178">
        <v>0</v>
      </c>
      <c r="H1148" s="178">
        <v>0</v>
      </c>
      <c r="I1148" s="178">
        <v>0</v>
      </c>
      <c r="J1148" s="178" t="s">
        <v>497</v>
      </c>
    </row>
    <row r="1149" spans="1:10">
      <c r="A1149" s="178">
        <v>140</v>
      </c>
      <c r="B1149" s="178" t="s">
        <v>573</v>
      </c>
      <c r="C1149" s="178">
        <v>0</v>
      </c>
      <c r="D1149" s="178">
        <v>289123</v>
      </c>
      <c r="E1149" s="178">
        <v>-289123</v>
      </c>
      <c r="F1149" s="178">
        <v>0</v>
      </c>
      <c r="G1149" s="178">
        <v>0</v>
      </c>
      <c r="H1149" s="178">
        <v>0</v>
      </c>
      <c r="I1149" s="178">
        <v>0</v>
      </c>
      <c r="J1149" s="178" t="s">
        <v>497</v>
      </c>
    </row>
    <row r="1150" spans="1:10">
      <c r="A1150" s="178">
        <v>150</v>
      </c>
      <c r="B1150" s="178" t="s">
        <v>574</v>
      </c>
      <c r="C1150" s="178">
        <v>0</v>
      </c>
      <c r="D1150" s="178">
        <v>0</v>
      </c>
      <c r="E1150" s="178">
        <v>0</v>
      </c>
      <c r="F1150" s="178">
        <v>0</v>
      </c>
      <c r="G1150" s="178">
        <v>0</v>
      </c>
      <c r="H1150" s="178">
        <v>0</v>
      </c>
      <c r="I1150" s="178">
        <v>0</v>
      </c>
      <c r="J1150" s="178" t="s">
        <v>497</v>
      </c>
    </row>
    <row r="1151" spans="1:10">
      <c r="A1151" s="178">
        <v>160</v>
      </c>
      <c r="B1151" s="178" t="s">
        <v>575</v>
      </c>
      <c r="C1151" s="178">
        <v>0</v>
      </c>
      <c r="D1151" s="178">
        <v>29292</v>
      </c>
      <c r="E1151" s="178">
        <v>-29292</v>
      </c>
      <c r="F1151" s="178">
        <v>0</v>
      </c>
      <c r="G1151" s="178">
        <v>0</v>
      </c>
      <c r="H1151" s="178">
        <v>0</v>
      </c>
      <c r="I1151" s="178">
        <v>0</v>
      </c>
      <c r="J1151" s="178" t="s">
        <v>497</v>
      </c>
    </row>
    <row r="1152" spans="1:10">
      <c r="A1152" s="178">
        <v>170</v>
      </c>
      <c r="B1152" s="178" t="s">
        <v>576</v>
      </c>
      <c r="C1152" s="178">
        <v>288122.84</v>
      </c>
      <c r="D1152" s="178">
        <v>0</v>
      </c>
      <c r="E1152" s="178">
        <v>288122.84</v>
      </c>
      <c r="F1152" s="178">
        <v>0</v>
      </c>
      <c r="G1152" s="178">
        <v>0</v>
      </c>
      <c r="H1152" s="178">
        <v>288122.84</v>
      </c>
      <c r="I1152" s="178">
        <v>288122.84</v>
      </c>
      <c r="J1152" s="178" t="s">
        <v>497</v>
      </c>
    </row>
    <row r="1153" spans="1:10">
      <c r="A1153" s="178">
        <v>180</v>
      </c>
      <c r="B1153" s="178" t="s">
        <v>577</v>
      </c>
      <c r="C1153" s="178">
        <v>14041.23</v>
      </c>
      <c r="D1153" s="178">
        <v>59700</v>
      </c>
      <c r="E1153" s="178">
        <v>-45658.77</v>
      </c>
      <c r="F1153" s="178">
        <v>0</v>
      </c>
      <c r="G1153" s="178">
        <v>0</v>
      </c>
      <c r="H1153" s="178">
        <v>14041.23</v>
      </c>
      <c r="I1153" s="178">
        <v>14041.23</v>
      </c>
      <c r="J1153" s="178" t="s">
        <v>497</v>
      </c>
    </row>
    <row r="1154" spans="1:10">
      <c r="A1154" s="178">
        <v>190</v>
      </c>
      <c r="B1154" s="178" t="s">
        <v>578</v>
      </c>
      <c r="C1154" s="178">
        <v>-428021.97</v>
      </c>
      <c r="D1154" s="178">
        <v>-220015</v>
      </c>
      <c r="E1154" s="178">
        <v>-208006.97</v>
      </c>
      <c r="F1154" s="178">
        <v>-1124.99</v>
      </c>
      <c r="G1154" s="178">
        <v>-1124.99</v>
      </c>
      <c r="H1154" s="178">
        <v>-426896.98</v>
      </c>
      <c r="I1154" s="178">
        <v>-426896.98</v>
      </c>
      <c r="J1154" s="178" t="s">
        <v>497</v>
      </c>
    </row>
    <row r="1155" spans="1:10">
      <c r="A1155" s="178">
        <v>200</v>
      </c>
      <c r="B1155" s="178" t="s">
        <v>579</v>
      </c>
      <c r="C1155" s="178">
        <v>-125857.9</v>
      </c>
      <c r="D1155" s="178">
        <v>158100</v>
      </c>
      <c r="E1155" s="178">
        <v>-283957.9</v>
      </c>
      <c r="F1155" s="178">
        <v>-1124.99</v>
      </c>
      <c r="G1155" s="178">
        <v>-1124.99</v>
      </c>
      <c r="H1155" s="178">
        <v>-124732.91</v>
      </c>
      <c r="I1155" s="178">
        <v>-124732.91</v>
      </c>
      <c r="J1155" s="178" t="s">
        <v>497</v>
      </c>
    </row>
    <row r="1156" spans="1:10">
      <c r="A1156" s="178">
        <v>210</v>
      </c>
      <c r="B1156" s="178" t="s">
        <v>580</v>
      </c>
      <c r="C1156" s="178">
        <v>0</v>
      </c>
      <c r="D1156" s="178">
        <v>0</v>
      </c>
      <c r="E1156" s="178">
        <v>0</v>
      </c>
      <c r="F1156" s="178">
        <v>0</v>
      </c>
      <c r="G1156" s="178">
        <v>0</v>
      </c>
      <c r="H1156" s="178">
        <v>0</v>
      </c>
      <c r="I1156" s="178">
        <v>0</v>
      </c>
      <c r="J1156" s="178" t="s">
        <v>497</v>
      </c>
    </row>
    <row r="1157" spans="1:10">
      <c r="A1157" s="178">
        <v>220</v>
      </c>
      <c r="B1157" s="178" t="s">
        <v>581</v>
      </c>
      <c r="C1157" s="178">
        <v>97000</v>
      </c>
      <c r="D1157" s="178">
        <v>97000</v>
      </c>
      <c r="E1157" s="178">
        <v>0</v>
      </c>
      <c r="F1157" s="178">
        <v>0</v>
      </c>
      <c r="G1157" s="178">
        <v>0</v>
      </c>
      <c r="H1157" s="178">
        <v>97000</v>
      </c>
      <c r="I1157" s="178">
        <v>97000</v>
      </c>
      <c r="J1157" s="178" t="s">
        <v>497</v>
      </c>
    </row>
    <row r="1158" spans="1:10">
      <c r="A1158" s="178">
        <v>230</v>
      </c>
      <c r="B1158" s="178" t="s">
        <v>582</v>
      </c>
      <c r="C1158" s="178">
        <v>661089.2</v>
      </c>
      <c r="D1158" s="178">
        <v>661089</v>
      </c>
      <c r="E1158" s="178">
        <v>0.2</v>
      </c>
      <c r="F1158" s="178">
        <v>0</v>
      </c>
      <c r="G1158" s="178">
        <v>0</v>
      </c>
      <c r="H1158" s="178">
        <v>661089.2</v>
      </c>
      <c r="I1158" s="178">
        <v>661089.2</v>
      </c>
      <c r="J1158" s="178" t="s">
        <v>497</v>
      </c>
    </row>
    <row r="1159" spans="1:10">
      <c r="A1159" s="178">
        <v>240</v>
      </c>
      <c r="B1159" s="178" t="s">
        <v>583</v>
      </c>
      <c r="C1159" s="178">
        <v>-85883.28</v>
      </c>
      <c r="D1159" s="178">
        <v>-306910</v>
      </c>
      <c r="E1159" s="178">
        <v>221026.72</v>
      </c>
      <c r="F1159" s="178">
        <v>0</v>
      </c>
      <c r="G1159" s="178">
        <v>0</v>
      </c>
      <c r="H1159" s="178">
        <v>-85883.28</v>
      </c>
      <c r="I1159" s="178">
        <v>-85883.28</v>
      </c>
      <c r="J1159" s="178" t="s">
        <v>497</v>
      </c>
    </row>
    <row r="1160" spans="1:10">
      <c r="A1160" s="178">
        <v>250</v>
      </c>
      <c r="B1160" s="178" t="s">
        <v>584</v>
      </c>
      <c r="C1160" s="178">
        <v>672205.92</v>
      </c>
      <c r="D1160" s="178">
        <v>451179</v>
      </c>
      <c r="E1160" s="178">
        <v>221026.92</v>
      </c>
      <c r="F1160" s="178">
        <v>0</v>
      </c>
      <c r="G1160" s="178">
        <v>0</v>
      </c>
      <c r="H1160" s="178">
        <v>672205.92</v>
      </c>
      <c r="I1160" s="178">
        <v>672205.92</v>
      </c>
      <c r="J1160" s="178" t="s">
        <v>497</v>
      </c>
    </row>
    <row r="1161" spans="1:10">
      <c r="A1161" s="178">
        <v>260</v>
      </c>
      <c r="B1161" s="178" t="s">
        <v>585</v>
      </c>
      <c r="C1161" s="178">
        <v>0</v>
      </c>
      <c r="D1161" s="178">
        <v>0</v>
      </c>
      <c r="E1161" s="178">
        <v>0</v>
      </c>
      <c r="F1161" s="178">
        <v>0</v>
      </c>
      <c r="G1161" s="178">
        <v>0</v>
      </c>
      <c r="H1161" s="178">
        <v>0</v>
      </c>
      <c r="I1161" s="178">
        <v>0</v>
      </c>
      <c r="J1161" s="178" t="s">
        <v>497</v>
      </c>
    </row>
    <row r="1162" spans="1:10">
      <c r="A1162" s="178">
        <v>270</v>
      </c>
      <c r="B1162" s="178" t="s">
        <v>586</v>
      </c>
      <c r="C1162" s="178">
        <v>58699.52</v>
      </c>
      <c r="D1162" s="178">
        <v>0</v>
      </c>
      <c r="E1162" s="178">
        <v>58699.52</v>
      </c>
      <c r="F1162" s="178">
        <v>0</v>
      </c>
      <c r="G1162" s="178">
        <v>0</v>
      </c>
      <c r="H1162" s="178">
        <v>58699.52</v>
      </c>
      <c r="I1162" s="178">
        <v>58699.52</v>
      </c>
      <c r="J1162" s="178" t="s">
        <v>497</v>
      </c>
    </row>
    <row r="1163" spans="1:10">
      <c r="A1163" s="178">
        <v>280</v>
      </c>
      <c r="B1163" s="178" t="s">
        <v>587</v>
      </c>
      <c r="C1163" s="178">
        <v>58699.52</v>
      </c>
      <c r="D1163" s="178">
        <v>0</v>
      </c>
      <c r="E1163" s="178">
        <v>58699.52</v>
      </c>
      <c r="F1163" s="178">
        <v>0</v>
      </c>
      <c r="G1163" s="178">
        <v>0</v>
      </c>
      <c r="H1163" s="178">
        <v>58699.52</v>
      </c>
      <c r="I1163" s="178">
        <v>58699.52</v>
      </c>
      <c r="J1163" s="178" t="s">
        <v>497</v>
      </c>
    </row>
    <row r="1164" spans="1:10">
      <c r="A1164" s="178">
        <v>400</v>
      </c>
      <c r="B1164" s="178" t="s">
        <v>588</v>
      </c>
      <c r="C1164" s="178">
        <v>721338.39</v>
      </c>
      <c r="D1164" s="178">
        <v>992456</v>
      </c>
      <c r="E1164" s="178">
        <v>-271117.61</v>
      </c>
      <c r="F1164" s="178">
        <v>-265872.7</v>
      </c>
      <c r="G1164" s="178">
        <v>-265872.7</v>
      </c>
      <c r="H1164" s="178">
        <v>987211.09</v>
      </c>
      <c r="I1164" s="178">
        <v>987211.09</v>
      </c>
      <c r="J1164" s="178" t="s">
        <v>497</v>
      </c>
    </row>
    <row r="1165" spans="1:10">
      <c r="A1165" s="178">
        <v>410</v>
      </c>
      <c r="B1165" s="178" t="s">
        <v>589</v>
      </c>
      <c r="C1165" s="178">
        <v>0</v>
      </c>
      <c r="D1165" s="178">
        <v>0</v>
      </c>
      <c r="E1165" s="178">
        <v>0</v>
      </c>
      <c r="F1165" s="178">
        <v>0</v>
      </c>
      <c r="G1165" s="178">
        <v>0</v>
      </c>
      <c r="H1165" s="178">
        <v>0</v>
      </c>
      <c r="I1165" s="178">
        <v>0</v>
      </c>
      <c r="J1165" s="178" t="s">
        <v>497</v>
      </c>
    </row>
    <row r="1166" spans="1:10">
      <c r="A1166" s="178">
        <v>420</v>
      </c>
      <c r="B1166" s="178" t="s">
        <v>590</v>
      </c>
      <c r="C1166" s="178">
        <v>49469.05</v>
      </c>
      <c r="D1166" s="178">
        <v>131428</v>
      </c>
      <c r="E1166" s="178">
        <v>-81958.95</v>
      </c>
      <c r="F1166" s="178">
        <v>27590.13</v>
      </c>
      <c r="G1166" s="178">
        <v>27590.13</v>
      </c>
      <c r="H1166" s="178">
        <v>21878.92</v>
      </c>
      <c r="I1166" s="178">
        <v>21878.92</v>
      </c>
      <c r="J1166" s="178" t="s">
        <v>497</v>
      </c>
    </row>
    <row r="1167" spans="1:10">
      <c r="A1167" s="178">
        <v>430</v>
      </c>
      <c r="B1167" s="178" t="s">
        <v>591</v>
      </c>
      <c r="C1167" s="178">
        <v>22441.69</v>
      </c>
      <c r="D1167" s="178">
        <v>37145</v>
      </c>
      <c r="E1167" s="178">
        <v>-14703.31</v>
      </c>
      <c r="F1167" s="178">
        <v>-79076.37</v>
      </c>
      <c r="G1167" s="178">
        <v>-79076.37</v>
      </c>
      <c r="H1167" s="178">
        <v>101518.06</v>
      </c>
      <c r="I1167" s="178">
        <v>101518.06</v>
      </c>
      <c r="J1167" s="178" t="s">
        <v>497</v>
      </c>
    </row>
    <row r="1168" spans="1:10">
      <c r="A1168" s="178">
        <v>440</v>
      </c>
      <c r="B1168" s="178" t="s">
        <v>592</v>
      </c>
      <c r="C1168" s="178">
        <v>0</v>
      </c>
      <c r="D1168" s="178">
        <v>12677</v>
      </c>
      <c r="E1168" s="178">
        <v>-12677</v>
      </c>
      <c r="F1168" s="178">
        <v>0</v>
      </c>
      <c r="G1168" s="178">
        <v>0</v>
      </c>
      <c r="H1168" s="178">
        <v>0</v>
      </c>
      <c r="I1168" s="178">
        <v>0</v>
      </c>
      <c r="J1168" s="178" t="s">
        <v>497</v>
      </c>
    </row>
    <row r="1169" spans="1:10">
      <c r="A1169" s="178">
        <v>450</v>
      </c>
      <c r="B1169" s="178" t="s">
        <v>593</v>
      </c>
      <c r="C1169" s="178">
        <v>38321.9</v>
      </c>
      <c r="D1169" s="178">
        <v>0</v>
      </c>
      <c r="E1169" s="178">
        <v>38321.9</v>
      </c>
      <c r="F1169" s="178">
        <v>66.45</v>
      </c>
      <c r="G1169" s="178">
        <v>66.45</v>
      </c>
      <c r="H1169" s="178">
        <v>38255.45</v>
      </c>
      <c r="I1169" s="178">
        <v>38255.45</v>
      </c>
      <c r="J1169" s="178" t="s">
        <v>497</v>
      </c>
    </row>
    <row r="1170" spans="1:10">
      <c r="A1170" s="178">
        <v>460</v>
      </c>
      <c r="B1170" s="178" t="s">
        <v>594</v>
      </c>
      <c r="C1170" s="178">
        <v>0</v>
      </c>
      <c r="D1170" s="178">
        <v>0</v>
      </c>
      <c r="E1170" s="178">
        <v>0</v>
      </c>
      <c r="F1170" s="178">
        <v>0</v>
      </c>
      <c r="G1170" s="178">
        <v>0</v>
      </c>
      <c r="H1170" s="178">
        <v>0</v>
      </c>
      <c r="I1170" s="178">
        <v>0</v>
      </c>
      <c r="J1170" s="178" t="s">
        <v>497</v>
      </c>
    </row>
    <row r="1171" spans="1:10">
      <c r="A1171" s="178">
        <v>500</v>
      </c>
      <c r="B1171" s="178" t="s">
        <v>595</v>
      </c>
      <c r="C1171" s="178">
        <v>110232.64</v>
      </c>
      <c r="D1171" s="178">
        <v>181250</v>
      </c>
      <c r="E1171" s="178">
        <v>-71017.36</v>
      </c>
      <c r="F1171" s="178">
        <v>-51419.79</v>
      </c>
      <c r="G1171" s="178">
        <v>-51419.79</v>
      </c>
      <c r="H1171" s="178">
        <v>161652.43</v>
      </c>
      <c r="I1171" s="178">
        <v>161652.43</v>
      </c>
      <c r="J1171" s="178" t="s">
        <v>497</v>
      </c>
    </row>
    <row r="1172" spans="1:10">
      <c r="A1172" s="178">
        <v>510</v>
      </c>
      <c r="B1172" s="178" t="s">
        <v>596</v>
      </c>
      <c r="C1172" s="178">
        <v>0</v>
      </c>
      <c r="D1172" s="178">
        <v>0</v>
      </c>
      <c r="E1172" s="178">
        <v>0</v>
      </c>
      <c r="F1172" s="178">
        <v>0</v>
      </c>
      <c r="G1172" s="178">
        <v>0</v>
      </c>
      <c r="H1172" s="178">
        <v>0</v>
      </c>
      <c r="I1172" s="178">
        <v>0</v>
      </c>
      <c r="J1172" s="178" t="s">
        <v>497</v>
      </c>
    </row>
    <row r="1173" spans="1:10">
      <c r="A1173" s="178">
        <v>520</v>
      </c>
      <c r="B1173" s="178" t="s">
        <v>597</v>
      </c>
      <c r="C1173" s="178">
        <v>1463158.95</v>
      </c>
      <c r="D1173" s="178">
        <v>0</v>
      </c>
      <c r="E1173" s="178">
        <v>1463158.95</v>
      </c>
      <c r="F1173" s="178">
        <v>-230000</v>
      </c>
      <c r="G1173" s="178">
        <v>-230000</v>
      </c>
      <c r="H1173" s="178">
        <v>1693158.95</v>
      </c>
      <c r="I1173" s="178">
        <v>1693158.95</v>
      </c>
      <c r="J1173" s="178" t="s">
        <v>497</v>
      </c>
    </row>
    <row r="1174" spans="1:10">
      <c r="A1174" s="178">
        <v>530</v>
      </c>
      <c r="B1174" s="178" t="s">
        <v>598</v>
      </c>
      <c r="C1174" s="178">
        <v>0</v>
      </c>
      <c r="D1174" s="178">
        <v>1935059</v>
      </c>
      <c r="E1174" s="178">
        <v>-1935059</v>
      </c>
      <c r="F1174" s="178">
        <v>0</v>
      </c>
      <c r="G1174" s="178">
        <v>0</v>
      </c>
      <c r="H1174" s="178">
        <v>0</v>
      </c>
      <c r="I1174" s="178">
        <v>0</v>
      </c>
      <c r="J1174" s="178" t="s">
        <v>497</v>
      </c>
    </row>
    <row r="1175" spans="1:10">
      <c r="A1175" s="178">
        <v>540</v>
      </c>
      <c r="B1175" s="178" t="s">
        <v>599</v>
      </c>
      <c r="C1175" s="178">
        <v>216900</v>
      </c>
      <c r="D1175" s="178">
        <v>0</v>
      </c>
      <c r="E1175" s="178">
        <v>216900</v>
      </c>
      <c r="F1175" s="178">
        <v>0</v>
      </c>
      <c r="G1175" s="178">
        <v>0</v>
      </c>
      <c r="H1175" s="178">
        <v>216900</v>
      </c>
      <c r="I1175" s="178">
        <v>216900</v>
      </c>
      <c r="J1175" s="178" t="s">
        <v>497</v>
      </c>
    </row>
    <row r="1176" spans="1:10">
      <c r="A1176" s="178">
        <v>600</v>
      </c>
      <c r="B1176" s="178" t="s">
        <v>600</v>
      </c>
      <c r="C1176" s="178">
        <v>1680058.95</v>
      </c>
      <c r="D1176" s="178">
        <v>1935059</v>
      </c>
      <c r="E1176" s="178">
        <v>-255000.05</v>
      </c>
      <c r="F1176" s="178">
        <v>-230000</v>
      </c>
      <c r="G1176" s="178">
        <v>-230000</v>
      </c>
      <c r="H1176" s="178">
        <v>1910058.95</v>
      </c>
      <c r="I1176" s="178">
        <v>1910058.95</v>
      </c>
      <c r="J1176" s="178" t="s">
        <v>497</v>
      </c>
    </row>
    <row r="1177" spans="1:10">
      <c r="A1177" s="178">
        <v>610</v>
      </c>
      <c r="B1177" s="178" t="s">
        <v>601</v>
      </c>
      <c r="C1177" s="178">
        <v>0</v>
      </c>
      <c r="D1177" s="178">
        <v>0</v>
      </c>
      <c r="E1177" s="178">
        <v>0</v>
      </c>
      <c r="F1177" s="178">
        <v>0</v>
      </c>
      <c r="G1177" s="178">
        <v>0</v>
      </c>
      <c r="H1177" s="178">
        <v>0</v>
      </c>
      <c r="I1177" s="178">
        <v>0</v>
      </c>
      <c r="J1177" s="178" t="s">
        <v>497</v>
      </c>
    </row>
    <row r="1178" spans="1:10">
      <c r="A1178" s="178">
        <v>620</v>
      </c>
      <c r="B1178" s="178"/>
      <c r="C1178" s="178">
        <v>0</v>
      </c>
      <c r="D1178" s="178">
        <v>0</v>
      </c>
      <c r="E1178" s="178">
        <v>0</v>
      </c>
      <c r="F1178" s="178">
        <v>0</v>
      </c>
      <c r="G1178" s="178">
        <v>0</v>
      </c>
      <c r="H1178" s="178">
        <v>0</v>
      </c>
      <c r="I1178" s="178">
        <v>0</v>
      </c>
      <c r="J1178" s="178" t="s">
        <v>497</v>
      </c>
    </row>
    <row r="1179" spans="1:10">
      <c r="A1179" s="178">
        <v>700</v>
      </c>
      <c r="B1179" s="178" t="s">
        <v>602</v>
      </c>
      <c r="C1179" s="178">
        <v>0</v>
      </c>
      <c r="D1179" s="178">
        <v>0</v>
      </c>
      <c r="E1179" s="178">
        <v>0</v>
      </c>
      <c r="F1179" s="178">
        <v>0</v>
      </c>
      <c r="G1179" s="178">
        <v>0</v>
      </c>
      <c r="H1179" s="178">
        <v>0</v>
      </c>
      <c r="I1179" s="178">
        <v>0</v>
      </c>
      <c r="J1179" s="178" t="s">
        <v>497</v>
      </c>
    </row>
    <row r="1180" spans="1:10">
      <c r="A1180" s="178">
        <v>710</v>
      </c>
      <c r="B1180" s="178" t="s">
        <v>558</v>
      </c>
      <c r="C1180" s="178">
        <v>0</v>
      </c>
      <c r="D1180" s="178">
        <v>0</v>
      </c>
      <c r="E1180" s="178">
        <v>0</v>
      </c>
      <c r="F1180" s="178">
        <v>0</v>
      </c>
      <c r="G1180" s="178">
        <v>0</v>
      </c>
      <c r="H1180" s="178">
        <v>0</v>
      </c>
      <c r="I1180" s="178">
        <v>0</v>
      </c>
      <c r="J1180" s="178" t="s">
        <v>497</v>
      </c>
    </row>
    <row r="1181" spans="1:10">
      <c r="A1181" s="178">
        <v>720</v>
      </c>
      <c r="B1181" s="178" t="s">
        <v>603</v>
      </c>
      <c r="C1181" s="178">
        <v>1000</v>
      </c>
      <c r="D1181" s="178">
        <v>1000</v>
      </c>
      <c r="E1181" s="178">
        <v>0</v>
      </c>
      <c r="F1181" s="178">
        <v>0</v>
      </c>
      <c r="G1181" s="178">
        <v>0</v>
      </c>
      <c r="H1181" s="178">
        <v>1000</v>
      </c>
      <c r="I1181" s="178">
        <v>1000</v>
      </c>
      <c r="J1181" s="178" t="s">
        <v>497</v>
      </c>
    </row>
    <row r="1182" spans="1:10">
      <c r="A1182" s="178">
        <v>730</v>
      </c>
      <c r="B1182" s="178" t="s">
        <v>604</v>
      </c>
      <c r="C1182" s="178">
        <v>0</v>
      </c>
      <c r="D1182" s="178">
        <v>0</v>
      </c>
      <c r="E1182" s="178">
        <v>0</v>
      </c>
      <c r="F1182" s="178">
        <v>0</v>
      </c>
      <c r="G1182" s="178">
        <v>0</v>
      </c>
      <c r="H1182" s="178">
        <v>0</v>
      </c>
      <c r="I1182" s="178">
        <v>0</v>
      </c>
      <c r="J1182" s="178" t="s">
        <v>497</v>
      </c>
    </row>
    <row r="1183" spans="1:10">
      <c r="A1183" s="178">
        <v>740</v>
      </c>
      <c r="B1183" s="178" t="s">
        <v>605</v>
      </c>
      <c r="C1183" s="178">
        <v>-1085500.29</v>
      </c>
      <c r="D1183" s="178">
        <v>-1116035</v>
      </c>
      <c r="E1183" s="178">
        <v>30534.71</v>
      </c>
      <c r="F1183" s="178">
        <v>0</v>
      </c>
      <c r="G1183" s="178">
        <v>0</v>
      </c>
      <c r="H1183" s="178">
        <v>-1168087.88</v>
      </c>
      <c r="I1183" s="178">
        <v>-1085500.29</v>
      </c>
      <c r="J1183" s="178" t="s">
        <v>497</v>
      </c>
    </row>
    <row r="1184" spans="1:10">
      <c r="A1184" s="178">
        <v>750</v>
      </c>
      <c r="B1184" s="178" t="s">
        <v>474</v>
      </c>
      <c r="C1184" s="178">
        <v>15547.09</v>
      </c>
      <c r="D1184" s="178">
        <v>-8819</v>
      </c>
      <c r="E1184" s="178">
        <v>24366.09</v>
      </c>
      <c r="F1184" s="178">
        <v>15547.09</v>
      </c>
      <c r="G1184" s="178">
        <v>15547.09</v>
      </c>
      <c r="H1184" s="178">
        <v>82587.59</v>
      </c>
      <c r="I1184" s="178">
        <v>0</v>
      </c>
      <c r="J1184" s="178" t="s">
        <v>497</v>
      </c>
    </row>
    <row r="1185" spans="1:10">
      <c r="A1185" s="178">
        <v>760</v>
      </c>
      <c r="B1185" s="178" t="s">
        <v>606</v>
      </c>
      <c r="C1185" s="178">
        <v>0</v>
      </c>
      <c r="D1185" s="178">
        <v>0</v>
      </c>
      <c r="E1185" s="178">
        <v>0</v>
      </c>
      <c r="F1185" s="178">
        <v>0</v>
      </c>
      <c r="G1185" s="178">
        <v>0</v>
      </c>
      <c r="H1185" s="178">
        <v>0</v>
      </c>
      <c r="I1185" s="178">
        <v>0</v>
      </c>
      <c r="J1185" s="178" t="s">
        <v>497</v>
      </c>
    </row>
    <row r="1186" spans="1:10">
      <c r="A1186" s="178">
        <v>770</v>
      </c>
      <c r="B1186" s="178"/>
      <c r="C1186" s="178">
        <v>0</v>
      </c>
      <c r="D1186" s="178">
        <v>0</v>
      </c>
      <c r="E1186" s="178">
        <v>0</v>
      </c>
      <c r="F1186" s="178">
        <v>0</v>
      </c>
      <c r="G1186" s="178">
        <v>0</v>
      </c>
      <c r="H1186" s="178">
        <v>0</v>
      </c>
      <c r="I1186" s="178">
        <v>0</v>
      </c>
      <c r="J1186" s="178" t="s">
        <v>497</v>
      </c>
    </row>
    <row r="1187" spans="1:10">
      <c r="A1187" s="178">
        <v>800</v>
      </c>
      <c r="B1187" s="178" t="s">
        <v>607</v>
      </c>
      <c r="C1187" s="178">
        <v>-1068953.2</v>
      </c>
      <c r="D1187" s="178">
        <v>-1123854</v>
      </c>
      <c r="E1187" s="178">
        <v>54900.8</v>
      </c>
      <c r="F1187" s="178">
        <v>15547.09</v>
      </c>
      <c r="G1187" s="178">
        <v>15547.09</v>
      </c>
      <c r="H1187" s="178">
        <v>-1084500.29</v>
      </c>
      <c r="I1187" s="178">
        <v>-1084500.29</v>
      </c>
      <c r="J1187" s="178" t="s">
        <v>497</v>
      </c>
    </row>
    <row r="1188" spans="1:10">
      <c r="A1188" s="178">
        <v>900</v>
      </c>
      <c r="B1188" s="178" t="s">
        <v>608</v>
      </c>
      <c r="C1188" s="178">
        <v>721338.39</v>
      </c>
      <c r="D1188" s="178">
        <v>992455</v>
      </c>
      <c r="E1188" s="178">
        <v>-271116.61</v>
      </c>
      <c r="F1188" s="178">
        <v>-265872.7</v>
      </c>
      <c r="G1188" s="178">
        <v>-265872.7</v>
      </c>
      <c r="H1188" s="178">
        <v>987211.09</v>
      </c>
      <c r="I1188" s="178">
        <v>987211.09</v>
      </c>
      <c r="J1188" s="178" t="s">
        <v>497</v>
      </c>
    </row>
    <row r="1189" spans="1:10">
      <c r="A1189" s="178">
        <v>1000</v>
      </c>
      <c r="B1189" s="178" t="s">
        <v>559</v>
      </c>
      <c r="C1189" s="178">
        <v>0</v>
      </c>
      <c r="D1189" s="178">
        <v>1</v>
      </c>
      <c r="E1189" s="178">
        <v>-1</v>
      </c>
      <c r="F1189" s="178">
        <v>0</v>
      </c>
      <c r="G1189" s="178">
        <v>0</v>
      </c>
      <c r="H1189" s="178">
        <v>0</v>
      </c>
      <c r="I1189" s="178">
        <v>0</v>
      </c>
      <c r="J1189" s="178" t="s">
        <v>497</v>
      </c>
    </row>
    <row r="1190" spans="1:10">
      <c r="A1190" s="178" t="s">
        <v>476</v>
      </c>
      <c r="B1190" s="178" t="s">
        <v>402</v>
      </c>
      <c r="C1190" s="178" t="s">
        <v>538</v>
      </c>
      <c r="D1190" s="178" t="s">
        <v>539</v>
      </c>
      <c r="E1190" s="178" t="s">
        <v>540</v>
      </c>
      <c r="F1190" s="178" t="s">
        <v>541</v>
      </c>
      <c r="G1190" s="178" t="s">
        <v>542</v>
      </c>
      <c r="H1190" s="178" t="s">
        <v>543</v>
      </c>
      <c r="I1190" s="178" t="s">
        <v>544</v>
      </c>
      <c r="J1190" s="178" t="s">
        <v>405</v>
      </c>
    </row>
    <row r="1191" spans="1:10">
      <c r="A1191" s="178">
        <v>10</v>
      </c>
      <c r="B1191" s="178" t="s">
        <v>545</v>
      </c>
      <c r="C1191" s="178">
        <v>0</v>
      </c>
      <c r="D1191" s="178">
        <v>0</v>
      </c>
      <c r="E1191" s="178">
        <v>0</v>
      </c>
      <c r="F1191" s="178">
        <v>0</v>
      </c>
      <c r="G1191" s="178">
        <v>0</v>
      </c>
      <c r="H1191" s="178">
        <v>0</v>
      </c>
      <c r="I1191" s="178">
        <v>0</v>
      </c>
      <c r="J1191" s="178" t="s">
        <v>497</v>
      </c>
    </row>
    <row r="1192" spans="1:10">
      <c r="A1192" s="178">
        <v>20</v>
      </c>
      <c r="B1192" s="178" t="s">
        <v>563</v>
      </c>
      <c r="C1192" s="178">
        <v>296696.53</v>
      </c>
      <c r="D1192" s="178">
        <v>772318</v>
      </c>
      <c r="E1192" s="178">
        <v>-475621.47</v>
      </c>
      <c r="F1192" s="178">
        <v>-491616.07</v>
      </c>
      <c r="G1192" s="178">
        <v>-491616.07</v>
      </c>
      <c r="H1192" s="178">
        <v>788312.6</v>
      </c>
      <c r="I1192" s="178">
        <v>788312.6</v>
      </c>
      <c r="J1192" s="178" t="s">
        <v>497</v>
      </c>
    </row>
    <row r="1193" spans="1:10">
      <c r="A1193" s="178">
        <v>30</v>
      </c>
      <c r="B1193" s="178" t="s">
        <v>564</v>
      </c>
      <c r="C1193" s="178">
        <v>0</v>
      </c>
      <c r="D1193" s="178">
        <v>0</v>
      </c>
      <c r="E1193" s="178">
        <v>0</v>
      </c>
      <c r="F1193" s="178">
        <v>0</v>
      </c>
      <c r="G1193" s="178">
        <v>0</v>
      </c>
      <c r="H1193" s="178">
        <v>0</v>
      </c>
      <c r="I1193" s="178">
        <v>0</v>
      </c>
      <c r="J1193" s="178" t="s">
        <v>497</v>
      </c>
    </row>
    <row r="1194" spans="1:10">
      <c r="A1194" s="178">
        <v>40</v>
      </c>
      <c r="B1194" s="178" t="s">
        <v>565</v>
      </c>
      <c r="C1194" s="178">
        <v>137370.66</v>
      </c>
      <c r="D1194" s="178">
        <v>158695</v>
      </c>
      <c r="E1194" s="178">
        <v>-21324.34</v>
      </c>
      <c r="F1194" s="178">
        <v>-3386.32</v>
      </c>
      <c r="G1194" s="178">
        <v>-3386.32</v>
      </c>
      <c r="H1194" s="178">
        <v>140756.98</v>
      </c>
      <c r="I1194" s="178">
        <v>140756.98</v>
      </c>
      <c r="J1194" s="178" t="s">
        <v>497</v>
      </c>
    </row>
    <row r="1195" spans="1:10">
      <c r="A1195" s="178">
        <v>50</v>
      </c>
      <c r="B1195" s="178" t="s">
        <v>566</v>
      </c>
      <c r="C1195" s="178">
        <v>0</v>
      </c>
      <c r="D1195" s="178">
        <v>0</v>
      </c>
      <c r="E1195" s="178">
        <v>0</v>
      </c>
      <c r="F1195" s="178">
        <v>0</v>
      </c>
      <c r="G1195" s="178">
        <v>0</v>
      </c>
      <c r="H1195" s="178">
        <v>0</v>
      </c>
      <c r="I1195" s="178">
        <v>0</v>
      </c>
      <c r="J1195" s="178" t="s">
        <v>497</v>
      </c>
    </row>
    <row r="1196" spans="1:10">
      <c r="A1196" s="178">
        <v>60</v>
      </c>
      <c r="B1196" s="178" t="s">
        <v>268</v>
      </c>
      <c r="C1196" s="178">
        <v>50203.68</v>
      </c>
      <c r="D1196" s="178">
        <v>64536</v>
      </c>
      <c r="E1196" s="178">
        <v>-14332.32</v>
      </c>
      <c r="F1196" s="178">
        <v>-3576.84</v>
      </c>
      <c r="G1196" s="178">
        <v>-3576.84</v>
      </c>
      <c r="H1196" s="178">
        <v>53780.52</v>
      </c>
      <c r="I1196" s="178">
        <v>53780.52</v>
      </c>
      <c r="J1196" s="178" t="s">
        <v>497</v>
      </c>
    </row>
    <row r="1197" spans="1:10">
      <c r="A1197" s="178">
        <v>70</v>
      </c>
      <c r="B1197" s="178" t="s">
        <v>567</v>
      </c>
      <c r="C1197" s="178">
        <v>40163.79</v>
      </c>
      <c r="D1197" s="178">
        <v>0</v>
      </c>
      <c r="E1197" s="178">
        <v>40163.79</v>
      </c>
      <c r="F1197" s="178">
        <v>12094.04</v>
      </c>
      <c r="G1197" s="178">
        <v>12094.04</v>
      </c>
      <c r="H1197" s="178">
        <v>28069.75</v>
      </c>
      <c r="I1197" s="178">
        <v>28069.75</v>
      </c>
      <c r="J1197" s="178" t="s">
        <v>497</v>
      </c>
    </row>
    <row r="1198" spans="1:10">
      <c r="A1198" s="178">
        <v>80</v>
      </c>
      <c r="B1198" s="178" t="s">
        <v>568</v>
      </c>
      <c r="C1198" s="178">
        <v>0</v>
      </c>
      <c r="D1198" s="178">
        <v>42319</v>
      </c>
      <c r="E1198" s="178">
        <v>-42319</v>
      </c>
      <c r="F1198" s="178">
        <v>0</v>
      </c>
      <c r="G1198" s="178">
        <v>0</v>
      </c>
      <c r="H1198" s="178">
        <v>0</v>
      </c>
      <c r="I1198" s="178">
        <v>0</v>
      </c>
      <c r="J1198" s="178" t="s">
        <v>497</v>
      </c>
    </row>
    <row r="1199" spans="1:10">
      <c r="A1199" s="178">
        <v>100</v>
      </c>
      <c r="B1199" s="178" t="s">
        <v>569</v>
      </c>
      <c r="C1199" s="178">
        <v>524434.66</v>
      </c>
      <c r="D1199" s="178">
        <v>1037868</v>
      </c>
      <c r="E1199" s="178">
        <v>-513433.34</v>
      </c>
      <c r="F1199" s="178">
        <v>-486485.19</v>
      </c>
      <c r="G1199" s="178">
        <v>-486485.19</v>
      </c>
      <c r="H1199" s="178">
        <v>1010919.85</v>
      </c>
      <c r="I1199" s="178">
        <v>1010919.85</v>
      </c>
      <c r="J1199" s="178" t="s">
        <v>497</v>
      </c>
    </row>
    <row r="1200" spans="1:10">
      <c r="A1200" s="178">
        <v>110</v>
      </c>
      <c r="B1200" s="178" t="s">
        <v>570</v>
      </c>
      <c r="C1200" s="178">
        <v>0</v>
      </c>
      <c r="D1200" s="178">
        <v>0</v>
      </c>
      <c r="E1200" s="178">
        <v>0</v>
      </c>
      <c r="F1200" s="178">
        <v>0</v>
      </c>
      <c r="G1200" s="178">
        <v>0</v>
      </c>
      <c r="H1200" s="178">
        <v>0</v>
      </c>
      <c r="I1200" s="178">
        <v>0</v>
      </c>
      <c r="J1200" s="178" t="s">
        <v>497</v>
      </c>
    </row>
    <row r="1201" spans="1:10">
      <c r="A1201" s="178">
        <v>120</v>
      </c>
      <c r="B1201" s="178" t="s">
        <v>571</v>
      </c>
      <c r="C1201" s="178">
        <v>0</v>
      </c>
      <c r="D1201" s="178">
        <v>0</v>
      </c>
      <c r="E1201" s="178">
        <v>0</v>
      </c>
      <c r="F1201" s="178">
        <v>0</v>
      </c>
      <c r="G1201" s="178">
        <v>0</v>
      </c>
      <c r="H1201" s="178">
        <v>0</v>
      </c>
      <c r="I1201" s="178">
        <v>0</v>
      </c>
      <c r="J1201" s="178" t="s">
        <v>497</v>
      </c>
    </row>
    <row r="1202" spans="1:10">
      <c r="A1202" s="178">
        <v>130</v>
      </c>
      <c r="B1202" s="178" t="s">
        <v>572</v>
      </c>
      <c r="C1202" s="178">
        <v>602171</v>
      </c>
      <c r="D1202" s="178">
        <v>602171</v>
      </c>
      <c r="E1202" s="178">
        <v>0</v>
      </c>
      <c r="F1202" s="178">
        <v>0</v>
      </c>
      <c r="G1202" s="178">
        <v>0</v>
      </c>
      <c r="H1202" s="178">
        <v>602171</v>
      </c>
      <c r="I1202" s="178">
        <v>602171</v>
      </c>
      <c r="J1202" s="178" t="s">
        <v>497</v>
      </c>
    </row>
    <row r="1203" spans="1:10">
      <c r="A1203" s="178">
        <v>140</v>
      </c>
      <c r="B1203" s="178" t="s">
        <v>573</v>
      </c>
      <c r="C1203" s="178">
        <v>0</v>
      </c>
      <c r="D1203" s="178">
        <v>1448638</v>
      </c>
      <c r="E1203" s="178">
        <v>-1448638</v>
      </c>
      <c r="F1203" s="178">
        <v>0</v>
      </c>
      <c r="G1203" s="178">
        <v>0</v>
      </c>
      <c r="H1203" s="178">
        <v>0</v>
      </c>
      <c r="I1203" s="178">
        <v>0</v>
      </c>
      <c r="J1203" s="178" t="s">
        <v>497</v>
      </c>
    </row>
    <row r="1204" spans="1:10">
      <c r="A1204" s="178">
        <v>150</v>
      </c>
      <c r="B1204" s="178" t="s">
        <v>574</v>
      </c>
      <c r="C1204" s="178">
        <v>0</v>
      </c>
      <c r="D1204" s="178">
        <v>0</v>
      </c>
      <c r="E1204" s="178">
        <v>0</v>
      </c>
      <c r="F1204" s="178">
        <v>0</v>
      </c>
      <c r="G1204" s="178">
        <v>0</v>
      </c>
      <c r="H1204" s="178">
        <v>0</v>
      </c>
      <c r="I1204" s="178">
        <v>0</v>
      </c>
      <c r="J1204" s="178" t="s">
        <v>497</v>
      </c>
    </row>
    <row r="1205" spans="1:10">
      <c r="A1205" s="178">
        <v>160</v>
      </c>
      <c r="B1205" s="178" t="s">
        <v>575</v>
      </c>
      <c r="C1205" s="178">
        <v>0</v>
      </c>
      <c r="D1205" s="178">
        <v>0</v>
      </c>
      <c r="E1205" s="178">
        <v>0</v>
      </c>
      <c r="F1205" s="178">
        <v>0</v>
      </c>
      <c r="G1205" s="178">
        <v>0</v>
      </c>
      <c r="H1205" s="178">
        <v>0</v>
      </c>
      <c r="I1205" s="178">
        <v>0</v>
      </c>
      <c r="J1205" s="178" t="s">
        <v>497</v>
      </c>
    </row>
    <row r="1206" spans="1:10">
      <c r="A1206" s="178">
        <v>170</v>
      </c>
      <c r="B1206" s="178" t="s">
        <v>576</v>
      </c>
      <c r="C1206" s="178">
        <v>1443958.17</v>
      </c>
      <c r="D1206" s="178">
        <v>0</v>
      </c>
      <c r="E1206" s="178">
        <v>1443958.17</v>
      </c>
      <c r="F1206" s="178">
        <v>0</v>
      </c>
      <c r="G1206" s="178">
        <v>0</v>
      </c>
      <c r="H1206" s="178">
        <v>1443958.17</v>
      </c>
      <c r="I1206" s="178">
        <v>1443958.17</v>
      </c>
      <c r="J1206" s="178" t="s">
        <v>497</v>
      </c>
    </row>
    <row r="1207" spans="1:10">
      <c r="A1207" s="178">
        <v>180</v>
      </c>
      <c r="B1207" s="178" t="s">
        <v>577</v>
      </c>
      <c r="C1207" s="178">
        <v>855126</v>
      </c>
      <c r="D1207" s="178">
        <v>918737</v>
      </c>
      <c r="E1207" s="178">
        <v>-63611</v>
      </c>
      <c r="F1207" s="178">
        <v>0</v>
      </c>
      <c r="G1207" s="178">
        <v>0</v>
      </c>
      <c r="H1207" s="178">
        <v>855126</v>
      </c>
      <c r="I1207" s="178">
        <v>855126</v>
      </c>
      <c r="J1207" s="178" t="s">
        <v>497</v>
      </c>
    </row>
    <row r="1208" spans="1:10">
      <c r="A1208" s="178">
        <v>190</v>
      </c>
      <c r="B1208" s="178" t="s">
        <v>578</v>
      </c>
      <c r="C1208" s="178">
        <v>-1692039.32</v>
      </c>
      <c r="D1208" s="178">
        <v>-1863102</v>
      </c>
      <c r="E1208" s="178">
        <v>171062.68</v>
      </c>
      <c r="F1208" s="178">
        <v>-5063.44</v>
      </c>
      <c r="G1208" s="178">
        <v>-5063.44</v>
      </c>
      <c r="H1208" s="178">
        <v>-1686975.88</v>
      </c>
      <c r="I1208" s="178">
        <v>-1686975.88</v>
      </c>
      <c r="J1208" s="178" t="s">
        <v>497</v>
      </c>
    </row>
    <row r="1209" spans="1:10">
      <c r="A1209" s="178">
        <v>200</v>
      </c>
      <c r="B1209" s="178" t="s">
        <v>579</v>
      </c>
      <c r="C1209" s="178">
        <v>1209215.85</v>
      </c>
      <c r="D1209" s="178">
        <v>1106444</v>
      </c>
      <c r="E1209" s="178">
        <v>102771.85</v>
      </c>
      <c r="F1209" s="178">
        <v>-5063.44</v>
      </c>
      <c r="G1209" s="178">
        <v>-5063.44</v>
      </c>
      <c r="H1209" s="178">
        <v>1214279.29</v>
      </c>
      <c r="I1209" s="178">
        <v>1214279.29</v>
      </c>
      <c r="J1209" s="178" t="s">
        <v>497</v>
      </c>
    </row>
    <row r="1210" spans="1:10">
      <c r="A1210" s="178">
        <v>210</v>
      </c>
      <c r="B1210" s="178" t="s">
        <v>580</v>
      </c>
      <c r="C1210" s="178">
        <v>0</v>
      </c>
      <c r="D1210" s="178">
        <v>0</v>
      </c>
      <c r="E1210" s="178">
        <v>0</v>
      </c>
      <c r="F1210" s="178">
        <v>0</v>
      </c>
      <c r="G1210" s="178">
        <v>0</v>
      </c>
      <c r="H1210" s="178">
        <v>0</v>
      </c>
      <c r="I1210" s="178">
        <v>0</v>
      </c>
      <c r="J1210" s="178" t="s">
        <v>497</v>
      </c>
    </row>
    <row r="1211" spans="1:10">
      <c r="A1211" s="178">
        <v>220</v>
      </c>
      <c r="B1211" s="178" t="s">
        <v>581</v>
      </c>
      <c r="C1211" s="178">
        <v>194984</v>
      </c>
      <c r="D1211" s="178">
        <v>194984</v>
      </c>
      <c r="E1211" s="178">
        <v>0</v>
      </c>
      <c r="F1211" s="178">
        <v>0</v>
      </c>
      <c r="G1211" s="178">
        <v>0</v>
      </c>
      <c r="H1211" s="178">
        <v>194984</v>
      </c>
      <c r="I1211" s="178">
        <v>194984</v>
      </c>
      <c r="J1211" s="178" t="s">
        <v>497</v>
      </c>
    </row>
    <row r="1212" spans="1:10">
      <c r="A1212" s="178">
        <v>230</v>
      </c>
      <c r="B1212" s="178" t="s">
        <v>582</v>
      </c>
      <c r="C1212" s="178">
        <v>2660172.04</v>
      </c>
      <c r="D1212" s="178">
        <v>2607770</v>
      </c>
      <c r="E1212" s="178">
        <v>52402.04</v>
      </c>
      <c r="F1212" s="178">
        <v>34902</v>
      </c>
      <c r="G1212" s="178">
        <v>34902</v>
      </c>
      <c r="H1212" s="178">
        <v>2625270.04</v>
      </c>
      <c r="I1212" s="178">
        <v>2625270.04</v>
      </c>
      <c r="J1212" s="178" t="s">
        <v>497</v>
      </c>
    </row>
    <row r="1213" spans="1:10">
      <c r="A1213" s="178">
        <v>240</v>
      </c>
      <c r="B1213" s="178" t="s">
        <v>583</v>
      </c>
      <c r="C1213" s="178">
        <v>-846710.48</v>
      </c>
      <c r="D1213" s="178">
        <v>-665504</v>
      </c>
      <c r="E1213" s="178">
        <v>-181206.48</v>
      </c>
      <c r="F1213" s="178">
        <v>-999.96</v>
      </c>
      <c r="G1213" s="178">
        <v>-999.96</v>
      </c>
      <c r="H1213" s="178">
        <v>-845710.52</v>
      </c>
      <c r="I1213" s="178">
        <v>-845710.52</v>
      </c>
      <c r="J1213" s="178" t="s">
        <v>497</v>
      </c>
    </row>
    <row r="1214" spans="1:10">
      <c r="A1214" s="178">
        <v>250</v>
      </c>
      <c r="B1214" s="178" t="s">
        <v>584</v>
      </c>
      <c r="C1214" s="178">
        <v>2008445.56</v>
      </c>
      <c r="D1214" s="178">
        <v>2137250</v>
      </c>
      <c r="E1214" s="178">
        <v>-128804.44</v>
      </c>
      <c r="F1214" s="178">
        <v>33902.04</v>
      </c>
      <c r="G1214" s="178">
        <v>33902.04</v>
      </c>
      <c r="H1214" s="178">
        <v>1974543.52</v>
      </c>
      <c r="I1214" s="178">
        <v>1974543.52</v>
      </c>
      <c r="J1214" s="178" t="s">
        <v>497</v>
      </c>
    </row>
    <row r="1215" spans="1:10">
      <c r="A1215" s="178">
        <v>260</v>
      </c>
      <c r="B1215" s="178" t="s">
        <v>585</v>
      </c>
      <c r="C1215" s="178">
        <v>0</v>
      </c>
      <c r="D1215" s="178">
        <v>0</v>
      </c>
      <c r="E1215" s="178">
        <v>0</v>
      </c>
      <c r="F1215" s="178">
        <v>0</v>
      </c>
      <c r="G1215" s="178">
        <v>0</v>
      </c>
      <c r="H1215" s="178">
        <v>0</v>
      </c>
      <c r="I1215" s="178">
        <v>0</v>
      </c>
      <c r="J1215" s="178" t="s">
        <v>497</v>
      </c>
    </row>
    <row r="1216" spans="1:10">
      <c r="A1216" s="178">
        <v>270</v>
      </c>
      <c r="B1216" s="178" t="s">
        <v>586</v>
      </c>
      <c r="C1216" s="178">
        <v>63611.34</v>
      </c>
      <c r="D1216" s="178">
        <v>0</v>
      </c>
      <c r="E1216" s="178">
        <v>63611.34</v>
      </c>
      <c r="F1216" s="178">
        <v>0</v>
      </c>
      <c r="G1216" s="178">
        <v>0</v>
      </c>
      <c r="H1216" s="178">
        <v>63611.34</v>
      </c>
      <c r="I1216" s="178">
        <v>63611.34</v>
      </c>
      <c r="J1216" s="178" t="s">
        <v>497</v>
      </c>
    </row>
    <row r="1217" spans="1:10">
      <c r="A1217" s="178">
        <v>280</v>
      </c>
      <c r="B1217" s="178" t="s">
        <v>587</v>
      </c>
      <c r="C1217" s="178">
        <v>63611.34</v>
      </c>
      <c r="D1217" s="178">
        <v>0</v>
      </c>
      <c r="E1217" s="178">
        <v>63611.34</v>
      </c>
      <c r="F1217" s="178">
        <v>0</v>
      </c>
      <c r="G1217" s="178">
        <v>0</v>
      </c>
      <c r="H1217" s="178">
        <v>63611.34</v>
      </c>
      <c r="I1217" s="178">
        <v>63611.34</v>
      </c>
      <c r="J1217" s="178" t="s">
        <v>497</v>
      </c>
    </row>
    <row r="1218" spans="1:10">
      <c r="A1218" s="178">
        <v>400</v>
      </c>
      <c r="B1218" s="178" t="s">
        <v>588</v>
      </c>
      <c r="C1218" s="178">
        <v>3805707.41</v>
      </c>
      <c r="D1218" s="178">
        <v>4281562</v>
      </c>
      <c r="E1218" s="178">
        <v>-475854.59</v>
      </c>
      <c r="F1218" s="178">
        <v>-457646.59</v>
      </c>
      <c r="G1218" s="178">
        <v>-457646.59</v>
      </c>
      <c r="H1218" s="178">
        <v>4263354</v>
      </c>
      <c r="I1218" s="178">
        <v>4263354</v>
      </c>
      <c r="J1218" s="178" t="s">
        <v>497</v>
      </c>
    </row>
    <row r="1219" spans="1:10">
      <c r="A1219" s="178">
        <v>410</v>
      </c>
      <c r="B1219" s="178" t="s">
        <v>589</v>
      </c>
      <c r="C1219" s="178">
        <v>0</v>
      </c>
      <c r="D1219" s="178">
        <v>0</v>
      </c>
      <c r="E1219" s="178">
        <v>0</v>
      </c>
      <c r="F1219" s="178">
        <v>0</v>
      </c>
      <c r="G1219" s="178">
        <v>0</v>
      </c>
      <c r="H1219" s="178">
        <v>0</v>
      </c>
      <c r="I1219" s="178">
        <v>0</v>
      </c>
      <c r="J1219" s="178" t="s">
        <v>497</v>
      </c>
    </row>
    <row r="1220" spans="1:10">
      <c r="A1220" s="178">
        <v>420</v>
      </c>
      <c r="B1220" s="178" t="s">
        <v>590</v>
      </c>
      <c r="C1220" s="178">
        <v>10894.25</v>
      </c>
      <c r="D1220" s="178">
        <v>23275</v>
      </c>
      <c r="E1220" s="178">
        <v>-12380.75</v>
      </c>
      <c r="F1220" s="178">
        <v>-16707.91</v>
      </c>
      <c r="G1220" s="178">
        <v>-16707.91</v>
      </c>
      <c r="H1220" s="178">
        <v>27602.16</v>
      </c>
      <c r="I1220" s="178">
        <v>27602.16</v>
      </c>
      <c r="J1220" s="178" t="s">
        <v>497</v>
      </c>
    </row>
    <row r="1221" spans="1:10">
      <c r="A1221" s="178">
        <v>430</v>
      </c>
      <c r="B1221" s="178" t="s">
        <v>591</v>
      </c>
      <c r="C1221" s="178">
        <v>260.83</v>
      </c>
      <c r="D1221" s="178">
        <v>0</v>
      </c>
      <c r="E1221" s="178">
        <v>260.83</v>
      </c>
      <c r="F1221" s="178">
        <v>0</v>
      </c>
      <c r="G1221" s="178">
        <v>0</v>
      </c>
      <c r="H1221" s="178">
        <v>260.83</v>
      </c>
      <c r="I1221" s="178">
        <v>260.83</v>
      </c>
      <c r="J1221" s="178" t="s">
        <v>497</v>
      </c>
    </row>
    <row r="1222" spans="1:10">
      <c r="A1222" s="178">
        <v>440</v>
      </c>
      <c r="B1222" s="178" t="s">
        <v>592</v>
      </c>
      <c r="C1222" s="178">
        <v>0</v>
      </c>
      <c r="D1222" s="178">
        <v>48349</v>
      </c>
      <c r="E1222" s="178">
        <v>-48349</v>
      </c>
      <c r="F1222" s="178">
        <v>0</v>
      </c>
      <c r="G1222" s="178">
        <v>0</v>
      </c>
      <c r="H1222" s="178">
        <v>0</v>
      </c>
      <c r="I1222" s="178">
        <v>0</v>
      </c>
      <c r="J1222" s="178" t="s">
        <v>497</v>
      </c>
    </row>
    <row r="1223" spans="1:10">
      <c r="A1223" s="178">
        <v>450</v>
      </c>
      <c r="B1223" s="178" t="s">
        <v>593</v>
      </c>
      <c r="C1223" s="178">
        <v>149605.12</v>
      </c>
      <c r="D1223" s="178">
        <v>42319</v>
      </c>
      <c r="E1223" s="178">
        <v>107286.12</v>
      </c>
      <c r="F1223" s="178">
        <v>41930.8</v>
      </c>
      <c r="G1223" s="178">
        <v>41930.8</v>
      </c>
      <c r="H1223" s="178">
        <v>107674.32</v>
      </c>
      <c r="I1223" s="178">
        <v>107674.32</v>
      </c>
      <c r="J1223" s="178" t="s">
        <v>497</v>
      </c>
    </row>
    <row r="1224" spans="1:10">
      <c r="A1224" s="178">
        <v>460</v>
      </c>
      <c r="B1224" s="178" t="s">
        <v>594</v>
      </c>
      <c r="C1224" s="178">
        <v>0</v>
      </c>
      <c r="D1224" s="178">
        <v>0</v>
      </c>
      <c r="E1224" s="178">
        <v>0</v>
      </c>
      <c r="F1224" s="178">
        <v>0</v>
      </c>
      <c r="G1224" s="178">
        <v>0</v>
      </c>
      <c r="H1224" s="178">
        <v>0</v>
      </c>
      <c r="I1224" s="178">
        <v>0</v>
      </c>
      <c r="J1224" s="178" t="s">
        <v>497</v>
      </c>
    </row>
    <row r="1225" spans="1:10">
      <c r="A1225" s="178">
        <v>500</v>
      </c>
      <c r="B1225" s="178" t="s">
        <v>595</v>
      </c>
      <c r="C1225" s="178">
        <v>160760.2</v>
      </c>
      <c r="D1225" s="178">
        <v>113943</v>
      </c>
      <c r="E1225" s="178">
        <v>46817.2</v>
      </c>
      <c r="F1225" s="178">
        <v>25222.89</v>
      </c>
      <c r="G1225" s="178">
        <v>25222.89</v>
      </c>
      <c r="H1225" s="178">
        <v>135537.31</v>
      </c>
      <c r="I1225" s="178">
        <v>135537.31</v>
      </c>
      <c r="J1225" s="178" t="s">
        <v>497</v>
      </c>
    </row>
    <row r="1226" spans="1:10">
      <c r="A1226" s="178">
        <v>510</v>
      </c>
      <c r="B1226" s="178" t="s">
        <v>596</v>
      </c>
      <c r="C1226" s="178">
        <v>0</v>
      </c>
      <c r="D1226" s="178">
        <v>0</v>
      </c>
      <c r="E1226" s="178">
        <v>0</v>
      </c>
      <c r="F1226" s="178">
        <v>0</v>
      </c>
      <c r="G1226" s="178">
        <v>0</v>
      </c>
      <c r="H1226" s="178">
        <v>0</v>
      </c>
      <c r="I1226" s="178">
        <v>0</v>
      </c>
      <c r="J1226" s="178" t="s">
        <v>497</v>
      </c>
    </row>
    <row r="1227" spans="1:10">
      <c r="A1227" s="178">
        <v>520</v>
      </c>
      <c r="B1227" s="178" t="s">
        <v>597</v>
      </c>
      <c r="C1227" s="178">
        <v>6357995.68</v>
      </c>
      <c r="D1227" s="178">
        <v>0</v>
      </c>
      <c r="E1227" s="178">
        <v>6357995.68</v>
      </c>
      <c r="F1227" s="178">
        <v>-506000</v>
      </c>
      <c r="G1227" s="178">
        <v>-506000</v>
      </c>
      <c r="H1227" s="178">
        <v>6863995.68</v>
      </c>
      <c r="I1227" s="178">
        <v>6863995.68</v>
      </c>
      <c r="J1227" s="178" t="s">
        <v>497</v>
      </c>
    </row>
    <row r="1228" spans="1:10">
      <c r="A1228" s="178">
        <v>530</v>
      </c>
      <c r="B1228" s="178" t="s">
        <v>598</v>
      </c>
      <c r="C1228" s="178">
        <v>482500</v>
      </c>
      <c r="D1228" s="178">
        <v>7398496</v>
      </c>
      <c r="E1228" s="178">
        <v>-6915996</v>
      </c>
      <c r="F1228" s="178">
        <v>0</v>
      </c>
      <c r="G1228" s="178">
        <v>0</v>
      </c>
      <c r="H1228" s="178">
        <v>482500</v>
      </c>
      <c r="I1228" s="178">
        <v>482500</v>
      </c>
      <c r="J1228" s="178" t="s">
        <v>497</v>
      </c>
    </row>
    <row r="1229" spans="1:10">
      <c r="A1229" s="178">
        <v>540</v>
      </c>
      <c r="B1229" s="178" t="s">
        <v>599</v>
      </c>
      <c r="C1229" s="178">
        <v>0</v>
      </c>
      <c r="D1229" s="178">
        <v>0</v>
      </c>
      <c r="E1229" s="178">
        <v>0</v>
      </c>
      <c r="F1229" s="178">
        <v>0</v>
      </c>
      <c r="G1229" s="178">
        <v>0</v>
      </c>
      <c r="H1229" s="178">
        <v>0</v>
      </c>
      <c r="I1229" s="178">
        <v>0</v>
      </c>
      <c r="J1229" s="178" t="s">
        <v>497</v>
      </c>
    </row>
    <row r="1230" spans="1:10">
      <c r="A1230" s="178">
        <v>600</v>
      </c>
      <c r="B1230" s="178" t="s">
        <v>600</v>
      </c>
      <c r="C1230" s="178">
        <v>6840495.68</v>
      </c>
      <c r="D1230" s="178">
        <v>7398496</v>
      </c>
      <c r="E1230" s="178">
        <v>-558000.32</v>
      </c>
      <c r="F1230" s="178">
        <v>-506000</v>
      </c>
      <c r="G1230" s="178">
        <v>-506000</v>
      </c>
      <c r="H1230" s="178">
        <v>7346495.68</v>
      </c>
      <c r="I1230" s="178">
        <v>7346495.68</v>
      </c>
      <c r="J1230" s="178" t="s">
        <v>497</v>
      </c>
    </row>
    <row r="1231" spans="1:10">
      <c r="A1231" s="178">
        <v>610</v>
      </c>
      <c r="B1231" s="178" t="s">
        <v>601</v>
      </c>
      <c r="C1231" s="178">
        <v>0</v>
      </c>
      <c r="D1231" s="178">
        <v>0</v>
      </c>
      <c r="E1231" s="178">
        <v>0</v>
      </c>
      <c r="F1231" s="178">
        <v>0</v>
      </c>
      <c r="G1231" s="178">
        <v>0</v>
      </c>
      <c r="H1231" s="178">
        <v>0</v>
      </c>
      <c r="I1231" s="178">
        <v>0</v>
      </c>
      <c r="J1231" s="178" t="s">
        <v>497</v>
      </c>
    </row>
    <row r="1232" spans="1:10">
      <c r="A1232" s="178">
        <v>620</v>
      </c>
      <c r="B1232" s="178"/>
      <c r="C1232" s="178">
        <v>0</v>
      </c>
      <c r="D1232" s="178">
        <v>0</v>
      </c>
      <c r="E1232" s="178">
        <v>0</v>
      </c>
      <c r="F1232" s="178">
        <v>0</v>
      </c>
      <c r="G1232" s="178">
        <v>0</v>
      </c>
      <c r="H1232" s="178">
        <v>0</v>
      </c>
      <c r="I1232" s="178">
        <v>0</v>
      </c>
      <c r="J1232" s="178" t="s">
        <v>497</v>
      </c>
    </row>
    <row r="1233" spans="1:10">
      <c r="A1233" s="178">
        <v>700</v>
      </c>
      <c r="B1233" s="178" t="s">
        <v>602</v>
      </c>
      <c r="C1233" s="178">
        <v>0</v>
      </c>
      <c r="D1233" s="178">
        <v>0</v>
      </c>
      <c r="E1233" s="178">
        <v>0</v>
      </c>
      <c r="F1233" s="178">
        <v>0</v>
      </c>
      <c r="G1233" s="178">
        <v>0</v>
      </c>
      <c r="H1233" s="178">
        <v>0</v>
      </c>
      <c r="I1233" s="178">
        <v>0</v>
      </c>
      <c r="J1233" s="178" t="s">
        <v>497</v>
      </c>
    </row>
    <row r="1234" spans="1:10">
      <c r="A1234" s="178">
        <v>710</v>
      </c>
      <c r="B1234" s="178" t="s">
        <v>558</v>
      </c>
      <c r="C1234" s="178">
        <v>0</v>
      </c>
      <c r="D1234" s="178">
        <v>0</v>
      </c>
      <c r="E1234" s="178">
        <v>0</v>
      </c>
      <c r="F1234" s="178">
        <v>0</v>
      </c>
      <c r="G1234" s="178">
        <v>0</v>
      </c>
      <c r="H1234" s="178">
        <v>0</v>
      </c>
      <c r="I1234" s="178">
        <v>0</v>
      </c>
      <c r="J1234" s="178" t="s">
        <v>497</v>
      </c>
    </row>
    <row r="1235" spans="1:10">
      <c r="A1235" s="178">
        <v>720</v>
      </c>
      <c r="B1235" s="178" t="s">
        <v>603</v>
      </c>
      <c r="C1235" s="178">
        <v>1000</v>
      </c>
      <c r="D1235" s="178">
        <v>1000</v>
      </c>
      <c r="E1235" s="178">
        <v>0</v>
      </c>
      <c r="F1235" s="178">
        <v>0</v>
      </c>
      <c r="G1235" s="178">
        <v>0</v>
      </c>
      <c r="H1235" s="178">
        <v>1000</v>
      </c>
      <c r="I1235" s="178">
        <v>1000</v>
      </c>
      <c r="J1235" s="178" t="s">
        <v>497</v>
      </c>
    </row>
    <row r="1236" spans="1:10">
      <c r="A1236" s="178">
        <v>730</v>
      </c>
      <c r="B1236" s="178" t="s">
        <v>604</v>
      </c>
      <c r="C1236" s="178">
        <v>0</v>
      </c>
      <c r="D1236" s="178">
        <v>0</v>
      </c>
      <c r="E1236" s="178">
        <v>0</v>
      </c>
      <c r="F1236" s="178">
        <v>0</v>
      </c>
      <c r="G1236" s="178">
        <v>0</v>
      </c>
      <c r="H1236" s="178">
        <v>0</v>
      </c>
      <c r="I1236" s="178">
        <v>0</v>
      </c>
      <c r="J1236" s="178" t="s">
        <v>497</v>
      </c>
    </row>
    <row r="1237" spans="1:10">
      <c r="A1237" s="178">
        <v>740</v>
      </c>
      <c r="B1237" s="178" t="s">
        <v>605</v>
      </c>
      <c r="C1237" s="178">
        <v>-3219678.99</v>
      </c>
      <c r="D1237" s="178">
        <v>-3278921</v>
      </c>
      <c r="E1237" s="178">
        <v>59242.01</v>
      </c>
      <c r="F1237" s="178">
        <v>0</v>
      </c>
      <c r="G1237" s="178">
        <v>0</v>
      </c>
      <c r="H1237" s="178">
        <v>-3607322.7</v>
      </c>
      <c r="I1237" s="178">
        <v>-3219678.99</v>
      </c>
      <c r="J1237" s="178" t="s">
        <v>497</v>
      </c>
    </row>
    <row r="1238" spans="1:10">
      <c r="A1238" s="178">
        <v>750</v>
      </c>
      <c r="B1238" s="178" t="s">
        <v>474</v>
      </c>
      <c r="C1238" s="178">
        <v>23130.52</v>
      </c>
      <c r="D1238" s="178">
        <v>-5155</v>
      </c>
      <c r="E1238" s="178">
        <v>28285.52</v>
      </c>
      <c r="F1238" s="178">
        <v>23130.52</v>
      </c>
      <c r="G1238" s="178">
        <v>23130.52</v>
      </c>
      <c r="H1238" s="178">
        <v>387643.71</v>
      </c>
      <c r="I1238" s="178">
        <v>0</v>
      </c>
      <c r="J1238" s="178" t="s">
        <v>497</v>
      </c>
    </row>
    <row r="1239" spans="1:10">
      <c r="A1239" s="178">
        <v>760</v>
      </c>
      <c r="B1239" s="178" t="s">
        <v>606</v>
      </c>
      <c r="C1239" s="178">
        <v>0</v>
      </c>
      <c r="D1239" s="178">
        <v>0</v>
      </c>
      <c r="E1239" s="178">
        <v>0</v>
      </c>
      <c r="F1239" s="178">
        <v>0</v>
      </c>
      <c r="G1239" s="178">
        <v>0</v>
      </c>
      <c r="H1239" s="178">
        <v>0</v>
      </c>
      <c r="I1239" s="178">
        <v>0</v>
      </c>
      <c r="J1239" s="178" t="s">
        <v>497</v>
      </c>
    </row>
    <row r="1240" spans="1:10">
      <c r="A1240" s="178">
        <v>770</v>
      </c>
      <c r="B1240" s="178"/>
      <c r="C1240" s="178">
        <v>0</v>
      </c>
      <c r="D1240" s="178">
        <v>0</v>
      </c>
      <c r="E1240" s="178">
        <v>0</v>
      </c>
      <c r="F1240" s="178">
        <v>0</v>
      </c>
      <c r="G1240" s="178">
        <v>0</v>
      </c>
      <c r="H1240" s="178">
        <v>0</v>
      </c>
      <c r="I1240" s="178">
        <v>0</v>
      </c>
      <c r="J1240" s="178" t="s">
        <v>497</v>
      </c>
    </row>
    <row r="1241" spans="1:10">
      <c r="A1241" s="178">
        <v>800</v>
      </c>
      <c r="B1241" s="178" t="s">
        <v>607</v>
      </c>
      <c r="C1241" s="178">
        <v>-3195548.47</v>
      </c>
      <c r="D1241" s="178">
        <v>-3283076</v>
      </c>
      <c r="E1241" s="178">
        <v>87527.53</v>
      </c>
      <c r="F1241" s="178">
        <v>23130.52</v>
      </c>
      <c r="G1241" s="178">
        <v>23130.52</v>
      </c>
      <c r="H1241" s="178">
        <v>-3218678.99</v>
      </c>
      <c r="I1241" s="178">
        <v>-3218678.99</v>
      </c>
      <c r="J1241" s="178" t="s">
        <v>497</v>
      </c>
    </row>
    <row r="1242" spans="1:10">
      <c r="A1242" s="178">
        <v>900</v>
      </c>
      <c r="B1242" s="178" t="s">
        <v>608</v>
      </c>
      <c r="C1242" s="178">
        <v>3805707.41</v>
      </c>
      <c r="D1242" s="178">
        <v>4229363</v>
      </c>
      <c r="E1242" s="178">
        <v>-423655.59</v>
      </c>
      <c r="F1242" s="178">
        <v>-457646.59</v>
      </c>
      <c r="G1242" s="178">
        <v>-457646.59</v>
      </c>
      <c r="H1242" s="178">
        <v>4263354</v>
      </c>
      <c r="I1242" s="178">
        <v>4263354</v>
      </c>
      <c r="J1242" s="178" t="s">
        <v>497</v>
      </c>
    </row>
    <row r="1243" spans="1:10">
      <c r="A1243" s="178">
        <v>1000</v>
      </c>
      <c r="B1243" s="178" t="s">
        <v>559</v>
      </c>
      <c r="C1243" s="178">
        <v>0</v>
      </c>
      <c r="D1243" s="178">
        <v>52199</v>
      </c>
      <c r="E1243" s="178">
        <v>-52199</v>
      </c>
      <c r="F1243" s="178">
        <v>0</v>
      </c>
      <c r="G1243" s="178">
        <v>0</v>
      </c>
      <c r="H1243" s="178">
        <v>0</v>
      </c>
      <c r="I1243" s="178">
        <v>0</v>
      </c>
      <c r="J1243" s="178" t="s">
        <v>497</v>
      </c>
    </row>
    <row r="1244" spans="1:10">
      <c r="A1244" s="178" t="s">
        <v>478</v>
      </c>
      <c r="B1244" s="178" t="s">
        <v>402</v>
      </c>
      <c r="C1244" s="178" t="s">
        <v>538</v>
      </c>
      <c r="D1244" s="178" t="s">
        <v>539</v>
      </c>
      <c r="E1244" s="178" t="s">
        <v>540</v>
      </c>
      <c r="F1244" s="178" t="s">
        <v>541</v>
      </c>
      <c r="G1244" s="178" t="s">
        <v>542</v>
      </c>
      <c r="H1244" s="178" t="s">
        <v>543</v>
      </c>
      <c r="I1244" s="178" t="s">
        <v>544</v>
      </c>
      <c r="J1244" s="178" t="s">
        <v>405</v>
      </c>
    </row>
    <row r="1245" spans="1:10">
      <c r="A1245" s="178">
        <v>10</v>
      </c>
      <c r="B1245" s="178" t="s">
        <v>545</v>
      </c>
      <c r="C1245" s="178">
        <v>0</v>
      </c>
      <c r="D1245" s="178">
        <v>0</v>
      </c>
      <c r="E1245" s="178">
        <v>0</v>
      </c>
      <c r="F1245" s="178">
        <v>0</v>
      </c>
      <c r="G1245" s="178">
        <v>0</v>
      </c>
      <c r="H1245" s="178">
        <v>0</v>
      </c>
      <c r="I1245" s="178">
        <v>0</v>
      </c>
      <c r="J1245" s="178" t="s">
        <v>497</v>
      </c>
    </row>
    <row r="1246" spans="1:10">
      <c r="A1246" s="178">
        <v>20</v>
      </c>
      <c r="B1246" s="178" t="s">
        <v>563</v>
      </c>
      <c r="C1246" s="178">
        <v>39750.91</v>
      </c>
      <c r="D1246" s="178">
        <v>0</v>
      </c>
      <c r="E1246" s="178">
        <v>39750.91</v>
      </c>
      <c r="F1246" s="178">
        <v>-328550.53</v>
      </c>
      <c r="G1246" s="178">
        <v>-328550.53</v>
      </c>
      <c r="H1246" s="178">
        <v>368301.44</v>
      </c>
      <c r="I1246" s="178">
        <v>368301.44</v>
      </c>
      <c r="J1246" s="178" t="s">
        <v>497</v>
      </c>
    </row>
    <row r="1247" spans="1:10">
      <c r="A1247" s="178">
        <v>30</v>
      </c>
      <c r="B1247" s="178" t="s">
        <v>564</v>
      </c>
      <c r="C1247" s="178">
        <v>0</v>
      </c>
      <c r="D1247" s="178">
        <v>0</v>
      </c>
      <c r="E1247" s="178">
        <v>0</v>
      </c>
      <c r="F1247" s="178">
        <v>0</v>
      </c>
      <c r="G1247" s="178">
        <v>0</v>
      </c>
      <c r="H1247" s="178">
        <v>0</v>
      </c>
      <c r="I1247" s="178">
        <v>0</v>
      </c>
      <c r="J1247" s="178" t="s">
        <v>497</v>
      </c>
    </row>
    <row r="1248" spans="1:10">
      <c r="A1248" s="178">
        <v>40</v>
      </c>
      <c r="B1248" s="178" t="s">
        <v>565</v>
      </c>
      <c r="C1248" s="178">
        <v>9350</v>
      </c>
      <c r="D1248" s="178">
        <v>0</v>
      </c>
      <c r="E1248" s="178">
        <v>9350</v>
      </c>
      <c r="F1248" s="178">
        <v>0</v>
      </c>
      <c r="G1248" s="178">
        <v>0</v>
      </c>
      <c r="H1248" s="178">
        <v>9350</v>
      </c>
      <c r="I1248" s="178">
        <v>9350</v>
      </c>
      <c r="J1248" s="178" t="s">
        <v>497</v>
      </c>
    </row>
    <row r="1249" spans="1:10">
      <c r="A1249" s="178">
        <v>50</v>
      </c>
      <c r="B1249" s="178" t="s">
        <v>566</v>
      </c>
      <c r="C1249" s="178">
        <v>187912</v>
      </c>
      <c r="D1249" s="178">
        <v>0</v>
      </c>
      <c r="E1249" s="178">
        <v>187912</v>
      </c>
      <c r="F1249" s="178">
        <v>165000</v>
      </c>
      <c r="G1249" s="178">
        <v>165000</v>
      </c>
      <c r="H1249" s="178">
        <v>22912</v>
      </c>
      <c r="I1249" s="178">
        <v>22912</v>
      </c>
      <c r="J1249" s="178" t="s">
        <v>497</v>
      </c>
    </row>
    <row r="1250" spans="1:10">
      <c r="A1250" s="178">
        <v>60</v>
      </c>
      <c r="B1250" s="178" t="s">
        <v>268</v>
      </c>
      <c r="C1250" s="178">
        <v>0</v>
      </c>
      <c r="D1250" s="178">
        <v>0</v>
      </c>
      <c r="E1250" s="178">
        <v>0</v>
      </c>
      <c r="F1250" s="178">
        <v>0</v>
      </c>
      <c r="G1250" s="178">
        <v>0</v>
      </c>
      <c r="H1250" s="178">
        <v>0</v>
      </c>
      <c r="I1250" s="178">
        <v>0</v>
      </c>
      <c r="J1250" s="178" t="s">
        <v>497</v>
      </c>
    </row>
    <row r="1251" spans="1:10">
      <c r="A1251" s="178">
        <v>70</v>
      </c>
      <c r="B1251" s="178" t="s">
        <v>567</v>
      </c>
      <c r="C1251" s="178">
        <v>0</v>
      </c>
      <c r="D1251" s="178">
        <v>0</v>
      </c>
      <c r="E1251" s="178">
        <v>0</v>
      </c>
      <c r="F1251" s="178">
        <v>0</v>
      </c>
      <c r="G1251" s="178">
        <v>0</v>
      </c>
      <c r="H1251" s="178">
        <v>0</v>
      </c>
      <c r="I1251" s="178">
        <v>0</v>
      </c>
      <c r="J1251" s="178" t="s">
        <v>497</v>
      </c>
    </row>
    <row r="1252" spans="1:10">
      <c r="A1252" s="178">
        <v>80</v>
      </c>
      <c r="B1252" s="178" t="s">
        <v>568</v>
      </c>
      <c r="C1252" s="178">
        <v>0</v>
      </c>
      <c r="D1252" s="178">
        <v>0</v>
      </c>
      <c r="E1252" s="178">
        <v>0</v>
      </c>
      <c r="F1252" s="178">
        <v>0</v>
      </c>
      <c r="G1252" s="178">
        <v>0</v>
      </c>
      <c r="H1252" s="178">
        <v>0</v>
      </c>
      <c r="I1252" s="178">
        <v>0</v>
      </c>
      <c r="J1252" s="178" t="s">
        <v>497</v>
      </c>
    </row>
    <row r="1253" spans="1:10">
      <c r="A1253" s="178">
        <v>100</v>
      </c>
      <c r="B1253" s="178" t="s">
        <v>569</v>
      </c>
      <c r="C1253" s="178">
        <v>237012.91</v>
      </c>
      <c r="D1253" s="178">
        <v>0</v>
      </c>
      <c r="E1253" s="178">
        <v>237012.91</v>
      </c>
      <c r="F1253" s="178">
        <v>-163550.53</v>
      </c>
      <c r="G1253" s="178">
        <v>-163550.53</v>
      </c>
      <c r="H1253" s="178">
        <v>400563.44</v>
      </c>
      <c r="I1253" s="178">
        <v>400563.44</v>
      </c>
      <c r="J1253" s="178" t="s">
        <v>497</v>
      </c>
    </row>
    <row r="1254" spans="1:10">
      <c r="A1254" s="178">
        <v>110</v>
      </c>
      <c r="B1254" s="178" t="s">
        <v>570</v>
      </c>
      <c r="C1254" s="178">
        <v>0</v>
      </c>
      <c r="D1254" s="178">
        <v>0</v>
      </c>
      <c r="E1254" s="178">
        <v>0</v>
      </c>
      <c r="F1254" s="178">
        <v>0</v>
      </c>
      <c r="G1254" s="178">
        <v>0</v>
      </c>
      <c r="H1254" s="178">
        <v>0</v>
      </c>
      <c r="I1254" s="178">
        <v>0</v>
      </c>
      <c r="J1254" s="178" t="s">
        <v>497</v>
      </c>
    </row>
    <row r="1255" spans="1:10">
      <c r="A1255" s="178">
        <v>120</v>
      </c>
      <c r="B1255" s="178" t="s">
        <v>571</v>
      </c>
      <c r="C1255" s="178">
        <v>2771479.07</v>
      </c>
      <c r="D1255" s="178">
        <v>0</v>
      </c>
      <c r="E1255" s="178">
        <v>2771479.07</v>
      </c>
      <c r="F1255" s="178">
        <v>0</v>
      </c>
      <c r="G1255" s="178">
        <v>0</v>
      </c>
      <c r="H1255" s="178">
        <v>2771479.07</v>
      </c>
      <c r="I1255" s="178">
        <v>2771479.07</v>
      </c>
      <c r="J1255" s="178" t="s">
        <v>497</v>
      </c>
    </row>
    <row r="1256" spans="1:10">
      <c r="A1256" s="178">
        <v>130</v>
      </c>
      <c r="B1256" s="178" t="s">
        <v>572</v>
      </c>
      <c r="C1256" s="178">
        <v>4246982.17</v>
      </c>
      <c r="D1256" s="178">
        <v>0</v>
      </c>
      <c r="E1256" s="178">
        <v>4246982.17</v>
      </c>
      <c r="F1256" s="178">
        <v>0</v>
      </c>
      <c r="G1256" s="178">
        <v>0</v>
      </c>
      <c r="H1256" s="178">
        <v>4246982.17</v>
      </c>
      <c r="I1256" s="178">
        <v>4246982.17</v>
      </c>
      <c r="J1256" s="178" t="s">
        <v>497</v>
      </c>
    </row>
    <row r="1257" spans="1:10">
      <c r="A1257" s="178">
        <v>140</v>
      </c>
      <c r="B1257" s="178" t="s">
        <v>573</v>
      </c>
      <c r="C1257" s="178">
        <v>0</v>
      </c>
      <c r="D1257" s="178">
        <v>0</v>
      </c>
      <c r="E1257" s="178">
        <v>0</v>
      </c>
      <c r="F1257" s="178">
        <v>0</v>
      </c>
      <c r="G1257" s="178">
        <v>0</v>
      </c>
      <c r="H1257" s="178">
        <v>0</v>
      </c>
      <c r="I1257" s="178">
        <v>0</v>
      </c>
      <c r="J1257" s="178" t="s">
        <v>497</v>
      </c>
    </row>
    <row r="1258" spans="1:10">
      <c r="A1258" s="178">
        <v>150</v>
      </c>
      <c r="B1258" s="178" t="s">
        <v>574</v>
      </c>
      <c r="C1258" s="178">
        <v>0</v>
      </c>
      <c r="D1258" s="178">
        <v>0</v>
      </c>
      <c r="E1258" s="178">
        <v>0</v>
      </c>
      <c r="F1258" s="178">
        <v>0</v>
      </c>
      <c r="G1258" s="178">
        <v>0</v>
      </c>
      <c r="H1258" s="178">
        <v>0</v>
      </c>
      <c r="I1258" s="178">
        <v>0</v>
      </c>
      <c r="J1258" s="178" t="s">
        <v>497</v>
      </c>
    </row>
    <row r="1259" spans="1:10">
      <c r="A1259" s="178">
        <v>160</v>
      </c>
      <c r="B1259" s="178" t="s">
        <v>575</v>
      </c>
      <c r="C1259" s="178">
        <v>0</v>
      </c>
      <c r="D1259" s="178">
        <v>0</v>
      </c>
      <c r="E1259" s="178">
        <v>0</v>
      </c>
      <c r="F1259" s="178">
        <v>0</v>
      </c>
      <c r="G1259" s="178">
        <v>0</v>
      </c>
      <c r="H1259" s="178">
        <v>0</v>
      </c>
      <c r="I1259" s="178">
        <v>0</v>
      </c>
      <c r="J1259" s="178" t="s">
        <v>497</v>
      </c>
    </row>
    <row r="1260" spans="1:10">
      <c r="A1260" s="178">
        <v>170</v>
      </c>
      <c r="B1260" s="178" t="s">
        <v>576</v>
      </c>
      <c r="C1260" s="178">
        <v>669226.96</v>
      </c>
      <c r="D1260" s="178">
        <v>0</v>
      </c>
      <c r="E1260" s="178">
        <v>669226.96</v>
      </c>
      <c r="F1260" s="178">
        <v>0</v>
      </c>
      <c r="G1260" s="178">
        <v>0</v>
      </c>
      <c r="H1260" s="178">
        <v>669226.96</v>
      </c>
      <c r="I1260" s="178">
        <v>669226.96</v>
      </c>
      <c r="J1260" s="178" t="s">
        <v>497</v>
      </c>
    </row>
    <row r="1261" spans="1:10">
      <c r="A1261" s="178">
        <v>180</v>
      </c>
      <c r="B1261" s="178" t="s">
        <v>577</v>
      </c>
      <c r="C1261" s="178">
        <v>47409.21</v>
      </c>
      <c r="D1261" s="178">
        <v>0</v>
      </c>
      <c r="E1261" s="178">
        <v>47409.21</v>
      </c>
      <c r="F1261" s="178">
        <v>0</v>
      </c>
      <c r="G1261" s="178">
        <v>0</v>
      </c>
      <c r="H1261" s="178">
        <v>47409.21</v>
      </c>
      <c r="I1261" s="178">
        <v>47409.21</v>
      </c>
      <c r="J1261" s="178" t="s">
        <v>497</v>
      </c>
    </row>
    <row r="1262" spans="1:10">
      <c r="A1262" s="178">
        <v>190</v>
      </c>
      <c r="B1262" s="178" t="s">
        <v>578</v>
      </c>
      <c r="C1262" s="178">
        <v>-2342771.96</v>
      </c>
      <c r="D1262" s="178">
        <v>0</v>
      </c>
      <c r="E1262" s="178">
        <v>-2342771.96</v>
      </c>
      <c r="F1262" s="178">
        <v>-21016</v>
      </c>
      <c r="G1262" s="178">
        <v>-21016</v>
      </c>
      <c r="H1262" s="178">
        <v>-2321755.96</v>
      </c>
      <c r="I1262" s="178">
        <v>-2321755.96</v>
      </c>
      <c r="J1262" s="178" t="s">
        <v>497</v>
      </c>
    </row>
    <row r="1263" spans="1:10">
      <c r="A1263" s="178">
        <v>200</v>
      </c>
      <c r="B1263" s="178" t="s">
        <v>579</v>
      </c>
      <c r="C1263" s="178">
        <v>5392325.45</v>
      </c>
      <c r="D1263" s="178">
        <v>0</v>
      </c>
      <c r="E1263" s="178">
        <v>5392325.45</v>
      </c>
      <c r="F1263" s="178">
        <v>-21016</v>
      </c>
      <c r="G1263" s="178">
        <v>-21016</v>
      </c>
      <c r="H1263" s="178">
        <v>5413341.45</v>
      </c>
      <c r="I1263" s="178">
        <v>5413341.45</v>
      </c>
      <c r="J1263" s="178" t="s">
        <v>497</v>
      </c>
    </row>
    <row r="1264" spans="1:10">
      <c r="A1264" s="178">
        <v>210</v>
      </c>
      <c r="B1264" s="178" t="s">
        <v>580</v>
      </c>
      <c r="C1264" s="178">
        <v>0</v>
      </c>
      <c r="D1264" s="178">
        <v>0</v>
      </c>
      <c r="E1264" s="178">
        <v>0</v>
      </c>
      <c r="F1264" s="178">
        <v>0</v>
      </c>
      <c r="G1264" s="178">
        <v>0</v>
      </c>
      <c r="H1264" s="178">
        <v>0</v>
      </c>
      <c r="I1264" s="178">
        <v>0</v>
      </c>
      <c r="J1264" s="178" t="s">
        <v>497</v>
      </c>
    </row>
    <row r="1265" spans="1:10">
      <c r="A1265" s="178">
        <v>220</v>
      </c>
      <c r="B1265" s="178" t="s">
        <v>581</v>
      </c>
      <c r="C1265" s="178">
        <v>0</v>
      </c>
      <c r="D1265" s="178">
        <v>0</v>
      </c>
      <c r="E1265" s="178">
        <v>0</v>
      </c>
      <c r="F1265" s="178">
        <v>0</v>
      </c>
      <c r="G1265" s="178">
        <v>0</v>
      </c>
      <c r="H1265" s="178">
        <v>0</v>
      </c>
      <c r="I1265" s="178">
        <v>0</v>
      </c>
      <c r="J1265" s="178" t="s">
        <v>497</v>
      </c>
    </row>
    <row r="1266" spans="1:10">
      <c r="A1266" s="178">
        <v>230</v>
      </c>
      <c r="B1266" s="178" t="s">
        <v>582</v>
      </c>
      <c r="C1266" s="178">
        <v>0</v>
      </c>
      <c r="D1266" s="178">
        <v>0</v>
      </c>
      <c r="E1266" s="178">
        <v>0</v>
      </c>
      <c r="F1266" s="178">
        <v>0</v>
      </c>
      <c r="G1266" s="178">
        <v>0</v>
      </c>
      <c r="H1266" s="178">
        <v>0</v>
      </c>
      <c r="I1266" s="178">
        <v>0</v>
      </c>
      <c r="J1266" s="178" t="s">
        <v>497</v>
      </c>
    </row>
    <row r="1267" spans="1:10">
      <c r="A1267" s="178">
        <v>240</v>
      </c>
      <c r="B1267" s="178" t="s">
        <v>583</v>
      </c>
      <c r="C1267" s="178">
        <v>-42767</v>
      </c>
      <c r="D1267" s="178">
        <v>0</v>
      </c>
      <c r="E1267" s="178">
        <v>-42767</v>
      </c>
      <c r="F1267" s="178">
        <v>0</v>
      </c>
      <c r="G1267" s="178">
        <v>0</v>
      </c>
      <c r="H1267" s="178">
        <v>-42767</v>
      </c>
      <c r="I1267" s="178">
        <v>-42767</v>
      </c>
      <c r="J1267" s="178" t="s">
        <v>497</v>
      </c>
    </row>
    <row r="1268" spans="1:10">
      <c r="A1268" s="178">
        <v>250</v>
      </c>
      <c r="B1268" s="178" t="s">
        <v>584</v>
      </c>
      <c r="C1268" s="178">
        <v>-42767</v>
      </c>
      <c r="D1268" s="178">
        <v>0</v>
      </c>
      <c r="E1268" s="178">
        <v>-42767</v>
      </c>
      <c r="F1268" s="178">
        <v>0</v>
      </c>
      <c r="G1268" s="178">
        <v>0</v>
      </c>
      <c r="H1268" s="178">
        <v>-42767</v>
      </c>
      <c r="I1268" s="178">
        <v>-42767</v>
      </c>
      <c r="J1268" s="178" t="s">
        <v>497</v>
      </c>
    </row>
    <row r="1269" spans="1:10">
      <c r="A1269" s="178">
        <v>260</v>
      </c>
      <c r="B1269" s="178" t="s">
        <v>585</v>
      </c>
      <c r="C1269" s="178">
        <v>0</v>
      </c>
      <c r="D1269" s="178">
        <v>0</v>
      </c>
      <c r="E1269" s="178">
        <v>0</v>
      </c>
      <c r="F1269" s="178">
        <v>0</v>
      </c>
      <c r="G1269" s="178">
        <v>0</v>
      </c>
      <c r="H1269" s="178">
        <v>0</v>
      </c>
      <c r="I1269" s="178">
        <v>0</v>
      </c>
      <c r="J1269" s="178" t="s">
        <v>497</v>
      </c>
    </row>
    <row r="1270" spans="1:10">
      <c r="A1270" s="178">
        <v>270</v>
      </c>
      <c r="B1270" s="178" t="s">
        <v>586</v>
      </c>
      <c r="C1270" s="178">
        <v>10000</v>
      </c>
      <c r="D1270" s="178">
        <v>0</v>
      </c>
      <c r="E1270" s="178">
        <v>10000</v>
      </c>
      <c r="F1270" s="178">
        <v>0</v>
      </c>
      <c r="G1270" s="178">
        <v>0</v>
      </c>
      <c r="H1270" s="178">
        <v>10000</v>
      </c>
      <c r="I1270" s="178">
        <v>10000</v>
      </c>
      <c r="J1270" s="178" t="s">
        <v>497</v>
      </c>
    </row>
    <row r="1271" spans="1:10">
      <c r="A1271" s="178">
        <v>280</v>
      </c>
      <c r="B1271" s="178" t="s">
        <v>587</v>
      </c>
      <c r="C1271" s="178">
        <v>10000</v>
      </c>
      <c r="D1271" s="178">
        <v>0</v>
      </c>
      <c r="E1271" s="178">
        <v>10000</v>
      </c>
      <c r="F1271" s="178">
        <v>0</v>
      </c>
      <c r="G1271" s="178">
        <v>0</v>
      </c>
      <c r="H1271" s="178">
        <v>10000</v>
      </c>
      <c r="I1271" s="178">
        <v>10000</v>
      </c>
      <c r="J1271" s="178" t="s">
        <v>497</v>
      </c>
    </row>
    <row r="1272" spans="1:10">
      <c r="A1272" s="178">
        <v>400</v>
      </c>
      <c r="B1272" s="178" t="s">
        <v>588</v>
      </c>
      <c r="C1272" s="178">
        <v>5596571.36</v>
      </c>
      <c r="D1272" s="178">
        <v>0</v>
      </c>
      <c r="E1272" s="178">
        <v>5596571.36</v>
      </c>
      <c r="F1272" s="178">
        <v>-184566.53</v>
      </c>
      <c r="G1272" s="178">
        <v>-184566.53</v>
      </c>
      <c r="H1272" s="178">
        <v>5781137.89</v>
      </c>
      <c r="I1272" s="178">
        <v>5781137.89</v>
      </c>
      <c r="J1272" s="178" t="s">
        <v>497</v>
      </c>
    </row>
    <row r="1273" spans="1:10">
      <c r="A1273" s="178">
        <v>410</v>
      </c>
      <c r="B1273" s="178" t="s">
        <v>589</v>
      </c>
      <c r="C1273" s="178">
        <v>0</v>
      </c>
      <c r="D1273" s="178">
        <v>0</v>
      </c>
      <c r="E1273" s="178">
        <v>0</v>
      </c>
      <c r="F1273" s="178">
        <v>0</v>
      </c>
      <c r="G1273" s="178">
        <v>0</v>
      </c>
      <c r="H1273" s="178">
        <v>0</v>
      </c>
      <c r="I1273" s="178">
        <v>0</v>
      </c>
      <c r="J1273" s="178" t="s">
        <v>497</v>
      </c>
    </row>
    <row r="1274" spans="1:10">
      <c r="A1274" s="178">
        <v>420</v>
      </c>
      <c r="B1274" s="178" t="s">
        <v>590</v>
      </c>
      <c r="C1274" s="178">
        <v>10220</v>
      </c>
      <c r="D1274" s="178">
        <v>0</v>
      </c>
      <c r="E1274" s="178">
        <v>10220</v>
      </c>
      <c r="F1274" s="178">
        <v>0</v>
      </c>
      <c r="G1274" s="178">
        <v>0</v>
      </c>
      <c r="H1274" s="178">
        <v>10220</v>
      </c>
      <c r="I1274" s="178">
        <v>10220</v>
      </c>
      <c r="J1274" s="178" t="s">
        <v>497</v>
      </c>
    </row>
    <row r="1275" spans="1:10">
      <c r="A1275" s="178">
        <v>430</v>
      </c>
      <c r="B1275" s="178" t="s">
        <v>591</v>
      </c>
      <c r="C1275" s="178">
        <v>1217765.42</v>
      </c>
      <c r="D1275" s="178">
        <v>0</v>
      </c>
      <c r="E1275" s="178">
        <v>1217765.42</v>
      </c>
      <c r="F1275" s="178">
        <v>-26673.12</v>
      </c>
      <c r="G1275" s="178">
        <v>-26673.12</v>
      </c>
      <c r="H1275" s="178">
        <v>1244438.54</v>
      </c>
      <c r="I1275" s="178">
        <v>1244438.54</v>
      </c>
      <c r="J1275" s="178" t="s">
        <v>497</v>
      </c>
    </row>
    <row r="1276" spans="1:10">
      <c r="A1276" s="178">
        <v>440</v>
      </c>
      <c r="B1276" s="178" t="s">
        <v>592</v>
      </c>
      <c r="C1276" s="178">
        <v>0</v>
      </c>
      <c r="D1276" s="178">
        <v>0</v>
      </c>
      <c r="E1276" s="178">
        <v>0</v>
      </c>
      <c r="F1276" s="178">
        <v>0</v>
      </c>
      <c r="G1276" s="178">
        <v>0</v>
      </c>
      <c r="H1276" s="178">
        <v>0</v>
      </c>
      <c r="I1276" s="178">
        <v>0</v>
      </c>
      <c r="J1276" s="178" t="s">
        <v>497</v>
      </c>
    </row>
    <row r="1277" spans="1:10">
      <c r="A1277" s="178">
        <v>450</v>
      </c>
      <c r="B1277" s="178" t="s">
        <v>593</v>
      </c>
      <c r="C1277" s="178">
        <v>0</v>
      </c>
      <c r="D1277" s="178">
        <v>0</v>
      </c>
      <c r="E1277" s="178">
        <v>0</v>
      </c>
      <c r="F1277" s="178">
        <v>0</v>
      </c>
      <c r="G1277" s="178">
        <v>0</v>
      </c>
      <c r="H1277" s="178">
        <v>0</v>
      </c>
      <c r="I1277" s="178">
        <v>0</v>
      </c>
      <c r="J1277" s="178" t="s">
        <v>497</v>
      </c>
    </row>
    <row r="1278" spans="1:10">
      <c r="A1278" s="178">
        <v>460</v>
      </c>
      <c r="B1278" s="178" t="s">
        <v>594</v>
      </c>
      <c r="C1278" s="178">
        <v>0</v>
      </c>
      <c r="D1278" s="178">
        <v>0</v>
      </c>
      <c r="E1278" s="178">
        <v>0</v>
      </c>
      <c r="F1278" s="178">
        <v>0</v>
      </c>
      <c r="G1278" s="178">
        <v>0</v>
      </c>
      <c r="H1278" s="178">
        <v>0</v>
      </c>
      <c r="I1278" s="178">
        <v>0</v>
      </c>
      <c r="J1278" s="178" t="s">
        <v>497</v>
      </c>
    </row>
    <row r="1279" spans="1:10">
      <c r="A1279" s="178">
        <v>500</v>
      </c>
      <c r="B1279" s="178" t="s">
        <v>595</v>
      </c>
      <c r="C1279" s="178">
        <v>1227985.42</v>
      </c>
      <c r="D1279" s="178">
        <v>0</v>
      </c>
      <c r="E1279" s="178">
        <v>1227985.42</v>
      </c>
      <c r="F1279" s="178">
        <v>-26673.12</v>
      </c>
      <c r="G1279" s="178">
        <v>-26673.12</v>
      </c>
      <c r="H1279" s="178">
        <v>1254658.54</v>
      </c>
      <c r="I1279" s="178">
        <v>1254658.54</v>
      </c>
      <c r="J1279" s="178" t="s">
        <v>497</v>
      </c>
    </row>
    <row r="1280" spans="1:10">
      <c r="A1280" s="178">
        <v>510</v>
      </c>
      <c r="B1280" s="178" t="s">
        <v>596</v>
      </c>
      <c r="C1280" s="178">
        <v>0</v>
      </c>
      <c r="D1280" s="178">
        <v>0</v>
      </c>
      <c r="E1280" s="178">
        <v>0</v>
      </c>
      <c r="F1280" s="178">
        <v>0</v>
      </c>
      <c r="G1280" s="178">
        <v>0</v>
      </c>
      <c r="H1280" s="178">
        <v>0</v>
      </c>
      <c r="I1280" s="178">
        <v>0</v>
      </c>
      <c r="J1280" s="178" t="s">
        <v>497</v>
      </c>
    </row>
    <row r="1281" spans="1:10">
      <c r="A1281" s="178">
        <v>520</v>
      </c>
      <c r="B1281" s="178" t="s">
        <v>597</v>
      </c>
      <c r="C1281" s="178">
        <v>164552</v>
      </c>
      <c r="D1281" s="178">
        <v>0</v>
      </c>
      <c r="E1281" s="178">
        <v>164552</v>
      </c>
      <c r="F1281" s="178">
        <v>-157000</v>
      </c>
      <c r="G1281" s="178">
        <v>-157000</v>
      </c>
      <c r="H1281" s="178">
        <v>321552</v>
      </c>
      <c r="I1281" s="178">
        <v>321552</v>
      </c>
      <c r="J1281" s="178" t="s">
        <v>497</v>
      </c>
    </row>
    <row r="1282" spans="1:10">
      <c r="A1282" s="178">
        <v>530</v>
      </c>
      <c r="B1282" s="178" t="s">
        <v>598</v>
      </c>
      <c r="C1282" s="178">
        <v>1227149.57</v>
      </c>
      <c r="D1282" s="178">
        <v>0</v>
      </c>
      <c r="E1282" s="178">
        <v>1227149.57</v>
      </c>
      <c r="F1282" s="178">
        <v>-8440.44</v>
      </c>
      <c r="G1282" s="178">
        <v>-8440.44</v>
      </c>
      <c r="H1282" s="178">
        <v>1235590.01</v>
      </c>
      <c r="I1282" s="178">
        <v>1235590.01</v>
      </c>
      <c r="J1282" s="178" t="s">
        <v>497</v>
      </c>
    </row>
    <row r="1283" spans="1:10">
      <c r="A1283" s="178">
        <v>540</v>
      </c>
      <c r="B1283" s="178" t="s">
        <v>599</v>
      </c>
      <c r="C1283" s="178">
        <v>0</v>
      </c>
      <c r="D1283" s="178">
        <v>0</v>
      </c>
      <c r="E1283" s="178">
        <v>0</v>
      </c>
      <c r="F1283" s="178">
        <v>0</v>
      </c>
      <c r="G1283" s="178">
        <v>0</v>
      </c>
      <c r="H1283" s="178">
        <v>0</v>
      </c>
      <c r="I1283" s="178">
        <v>0</v>
      </c>
      <c r="J1283" s="178" t="s">
        <v>497</v>
      </c>
    </row>
    <row r="1284" spans="1:10">
      <c r="A1284" s="178">
        <v>600</v>
      </c>
      <c r="B1284" s="178" t="s">
        <v>600</v>
      </c>
      <c r="C1284" s="178">
        <v>1391701.57</v>
      </c>
      <c r="D1284" s="178">
        <v>0</v>
      </c>
      <c r="E1284" s="178">
        <v>1391701.57</v>
      </c>
      <c r="F1284" s="178">
        <v>-165440.44</v>
      </c>
      <c r="G1284" s="178">
        <v>-165440.44</v>
      </c>
      <c r="H1284" s="178">
        <v>1557142.01</v>
      </c>
      <c r="I1284" s="178">
        <v>1557142.01</v>
      </c>
      <c r="J1284" s="178" t="s">
        <v>497</v>
      </c>
    </row>
    <row r="1285" spans="1:10">
      <c r="A1285" s="178">
        <v>610</v>
      </c>
      <c r="B1285" s="178" t="s">
        <v>601</v>
      </c>
      <c r="C1285" s="178">
        <v>0</v>
      </c>
      <c r="D1285" s="178">
        <v>0</v>
      </c>
      <c r="E1285" s="178">
        <v>0</v>
      </c>
      <c r="F1285" s="178">
        <v>0</v>
      </c>
      <c r="G1285" s="178">
        <v>0</v>
      </c>
      <c r="H1285" s="178">
        <v>0</v>
      </c>
      <c r="I1285" s="178">
        <v>0</v>
      </c>
      <c r="J1285" s="178" t="s">
        <v>497</v>
      </c>
    </row>
    <row r="1286" spans="1:10">
      <c r="A1286" s="178">
        <v>620</v>
      </c>
      <c r="B1286" s="178"/>
      <c r="C1286" s="178">
        <v>0</v>
      </c>
      <c r="D1286" s="178">
        <v>0</v>
      </c>
      <c r="E1286" s="178">
        <v>0</v>
      </c>
      <c r="F1286" s="178">
        <v>0</v>
      </c>
      <c r="G1286" s="178">
        <v>0</v>
      </c>
      <c r="H1286" s="178">
        <v>0</v>
      </c>
      <c r="I1286" s="178">
        <v>0</v>
      </c>
      <c r="J1286" s="178" t="s">
        <v>497</v>
      </c>
    </row>
    <row r="1287" spans="1:10">
      <c r="A1287" s="178">
        <v>700</v>
      </c>
      <c r="B1287" s="178" t="s">
        <v>602</v>
      </c>
      <c r="C1287" s="178">
        <v>2619686.99</v>
      </c>
      <c r="D1287" s="178">
        <v>0</v>
      </c>
      <c r="E1287" s="178">
        <v>2619686.99</v>
      </c>
      <c r="F1287" s="178">
        <v>-192113.56</v>
      </c>
      <c r="G1287" s="178">
        <v>-192113.56</v>
      </c>
      <c r="H1287" s="178">
        <v>2811800.55</v>
      </c>
      <c r="I1287" s="178">
        <v>2811800.55</v>
      </c>
      <c r="J1287" s="178" t="s">
        <v>497</v>
      </c>
    </row>
    <row r="1288" spans="1:10">
      <c r="A1288" s="178">
        <v>710</v>
      </c>
      <c r="B1288" s="178" t="s">
        <v>558</v>
      </c>
      <c r="C1288" s="178">
        <v>0</v>
      </c>
      <c r="D1288" s="178">
        <v>0</v>
      </c>
      <c r="E1288" s="178">
        <v>0</v>
      </c>
      <c r="F1288" s="178">
        <v>0</v>
      </c>
      <c r="G1288" s="178">
        <v>0</v>
      </c>
      <c r="H1288" s="178">
        <v>0</v>
      </c>
      <c r="I1288" s="178">
        <v>0</v>
      </c>
      <c r="J1288" s="178" t="s">
        <v>497</v>
      </c>
    </row>
    <row r="1289" spans="1:10">
      <c r="A1289" s="178">
        <v>720</v>
      </c>
      <c r="B1289" s="178" t="s">
        <v>603</v>
      </c>
      <c r="C1289" s="178">
        <v>2087847.04</v>
      </c>
      <c r="D1289" s="178">
        <v>0</v>
      </c>
      <c r="E1289" s="178">
        <v>2087847.04</v>
      </c>
      <c r="F1289" s="178">
        <v>0</v>
      </c>
      <c r="G1289" s="178">
        <v>0</v>
      </c>
      <c r="H1289" s="178">
        <v>2087847.04</v>
      </c>
      <c r="I1289" s="178">
        <v>2087847.04</v>
      </c>
      <c r="J1289" s="178" t="s">
        <v>497</v>
      </c>
    </row>
    <row r="1290" spans="1:10">
      <c r="A1290" s="178">
        <v>730</v>
      </c>
      <c r="B1290" s="178" t="s">
        <v>604</v>
      </c>
      <c r="C1290" s="178">
        <v>0</v>
      </c>
      <c r="D1290" s="178">
        <v>0</v>
      </c>
      <c r="E1290" s="178">
        <v>0</v>
      </c>
      <c r="F1290" s="178">
        <v>0</v>
      </c>
      <c r="G1290" s="178">
        <v>0</v>
      </c>
      <c r="H1290" s="178">
        <v>0</v>
      </c>
      <c r="I1290" s="178">
        <v>0</v>
      </c>
      <c r="J1290" s="178" t="s">
        <v>497</v>
      </c>
    </row>
    <row r="1291" spans="1:10">
      <c r="A1291" s="178">
        <v>740</v>
      </c>
      <c r="B1291" s="178" t="s">
        <v>605</v>
      </c>
      <c r="C1291" s="178">
        <v>881490.3</v>
      </c>
      <c r="D1291" s="178">
        <v>0</v>
      </c>
      <c r="E1291" s="178">
        <v>881490.3</v>
      </c>
      <c r="F1291" s="178">
        <v>0</v>
      </c>
      <c r="G1291" s="178">
        <v>0</v>
      </c>
      <c r="H1291" s="178">
        <v>691088.57</v>
      </c>
      <c r="I1291" s="178">
        <v>881490.3</v>
      </c>
      <c r="J1291" s="178" t="s">
        <v>497</v>
      </c>
    </row>
    <row r="1292" spans="1:10">
      <c r="A1292" s="178">
        <v>750</v>
      </c>
      <c r="B1292" s="178" t="s">
        <v>474</v>
      </c>
      <c r="C1292" s="178">
        <v>7547.03</v>
      </c>
      <c r="D1292" s="178">
        <v>48277</v>
      </c>
      <c r="E1292" s="178">
        <v>-40729.97</v>
      </c>
      <c r="F1292" s="178">
        <v>7547.03</v>
      </c>
      <c r="G1292" s="178">
        <v>7547.03</v>
      </c>
      <c r="H1292" s="178">
        <v>190401.73</v>
      </c>
      <c r="I1292" s="178">
        <v>0</v>
      </c>
      <c r="J1292" s="178" t="s">
        <v>497</v>
      </c>
    </row>
    <row r="1293" spans="1:10">
      <c r="A1293" s="178">
        <v>760</v>
      </c>
      <c r="B1293" s="178" t="s">
        <v>606</v>
      </c>
      <c r="C1293" s="178">
        <v>0</v>
      </c>
      <c r="D1293" s="178">
        <v>0</v>
      </c>
      <c r="E1293" s="178">
        <v>0</v>
      </c>
      <c r="F1293" s="178">
        <v>0</v>
      </c>
      <c r="G1293" s="178">
        <v>0</v>
      </c>
      <c r="H1293" s="178">
        <v>0</v>
      </c>
      <c r="I1293" s="178">
        <v>0</v>
      </c>
      <c r="J1293" s="178" t="s">
        <v>497</v>
      </c>
    </row>
    <row r="1294" spans="1:10">
      <c r="A1294" s="178">
        <v>770</v>
      </c>
      <c r="B1294" s="178"/>
      <c r="C1294" s="178">
        <v>0</v>
      </c>
      <c r="D1294" s="178">
        <v>0</v>
      </c>
      <c r="E1294" s="178">
        <v>0</v>
      </c>
      <c r="F1294" s="178">
        <v>0</v>
      </c>
      <c r="G1294" s="178">
        <v>0</v>
      </c>
      <c r="H1294" s="178">
        <v>0</v>
      </c>
      <c r="I1294" s="178">
        <v>0</v>
      </c>
      <c r="J1294" s="178" t="s">
        <v>497</v>
      </c>
    </row>
    <row r="1295" spans="1:10">
      <c r="A1295" s="178">
        <v>800</v>
      </c>
      <c r="B1295" s="178" t="s">
        <v>607</v>
      </c>
      <c r="C1295" s="178">
        <v>2976884.37</v>
      </c>
      <c r="D1295" s="178">
        <v>48277</v>
      </c>
      <c r="E1295" s="178">
        <v>2928607.37</v>
      </c>
      <c r="F1295" s="178">
        <v>7547.03</v>
      </c>
      <c r="G1295" s="178">
        <v>7547.03</v>
      </c>
      <c r="H1295" s="178">
        <v>2969337.34</v>
      </c>
      <c r="I1295" s="178">
        <v>2969337.34</v>
      </c>
      <c r="J1295" s="178" t="s">
        <v>497</v>
      </c>
    </row>
    <row r="1296" spans="1:10">
      <c r="A1296" s="178">
        <v>900</v>
      </c>
      <c r="B1296" s="178" t="s">
        <v>608</v>
      </c>
      <c r="C1296" s="178">
        <v>5596571.36</v>
      </c>
      <c r="D1296" s="178">
        <v>48277</v>
      </c>
      <c r="E1296" s="178">
        <v>5548294.36</v>
      </c>
      <c r="F1296" s="178">
        <v>-184566.53</v>
      </c>
      <c r="G1296" s="178">
        <v>-184566.53</v>
      </c>
      <c r="H1296" s="178">
        <v>5781137.89</v>
      </c>
      <c r="I1296" s="178">
        <v>5781137.89</v>
      </c>
      <c r="J1296" s="178" t="s">
        <v>497</v>
      </c>
    </row>
    <row r="1297" spans="1:10">
      <c r="A1297" s="178">
        <v>1000</v>
      </c>
      <c r="B1297" s="178" t="s">
        <v>559</v>
      </c>
      <c r="C1297" s="178">
        <v>0</v>
      </c>
      <c r="D1297" s="178">
        <v>-48277</v>
      </c>
      <c r="E1297" s="178">
        <v>48277</v>
      </c>
      <c r="F1297" s="178">
        <v>0</v>
      </c>
      <c r="G1297" s="178">
        <v>0</v>
      </c>
      <c r="H1297" s="178">
        <v>0</v>
      </c>
      <c r="I1297" s="178">
        <v>0</v>
      </c>
      <c r="J1297" s="178" t="s">
        <v>497</v>
      </c>
    </row>
    <row r="1298" spans="1:10">
      <c r="A1298" s="178" t="s">
        <v>480</v>
      </c>
      <c r="B1298" s="178" t="s">
        <v>402</v>
      </c>
      <c r="C1298" s="178" t="s">
        <v>538</v>
      </c>
      <c r="D1298" s="178" t="s">
        <v>539</v>
      </c>
      <c r="E1298" s="178" t="s">
        <v>540</v>
      </c>
      <c r="F1298" s="178" t="s">
        <v>541</v>
      </c>
      <c r="G1298" s="178" t="s">
        <v>542</v>
      </c>
      <c r="H1298" s="178" t="s">
        <v>543</v>
      </c>
      <c r="I1298" s="178" t="s">
        <v>544</v>
      </c>
      <c r="J1298" s="178" t="s">
        <v>405</v>
      </c>
    </row>
    <row r="1299" spans="1:10">
      <c r="A1299" s="178">
        <v>10</v>
      </c>
      <c r="B1299" s="178" t="s">
        <v>545</v>
      </c>
      <c r="C1299" s="178">
        <v>0</v>
      </c>
      <c r="D1299" s="178">
        <v>0</v>
      </c>
      <c r="E1299" s="178">
        <v>0</v>
      </c>
      <c r="F1299" s="178">
        <v>0</v>
      </c>
      <c r="G1299" s="178">
        <v>0</v>
      </c>
      <c r="H1299" s="178">
        <v>0</v>
      </c>
      <c r="I1299" s="178">
        <v>0</v>
      </c>
      <c r="J1299" s="178" t="s">
        <v>497</v>
      </c>
    </row>
    <row r="1300" spans="1:10">
      <c r="A1300" s="178">
        <v>20</v>
      </c>
      <c r="B1300" s="178" t="s">
        <v>563</v>
      </c>
      <c r="C1300" s="178">
        <v>6659.61</v>
      </c>
      <c r="D1300" s="178">
        <v>0</v>
      </c>
      <c r="E1300" s="178">
        <v>6659.61</v>
      </c>
      <c r="F1300" s="178">
        <v>3727.8</v>
      </c>
      <c r="G1300" s="178">
        <v>3727.8</v>
      </c>
      <c r="H1300" s="178">
        <v>2931.81</v>
      </c>
      <c r="I1300" s="178">
        <v>2931.81</v>
      </c>
      <c r="J1300" s="178" t="s">
        <v>497</v>
      </c>
    </row>
    <row r="1301" spans="1:10">
      <c r="A1301" s="178">
        <v>30</v>
      </c>
      <c r="B1301" s="178" t="s">
        <v>564</v>
      </c>
      <c r="C1301" s="178">
        <v>0</v>
      </c>
      <c r="D1301" s="178">
        <v>0</v>
      </c>
      <c r="E1301" s="178">
        <v>0</v>
      </c>
      <c r="F1301" s="178">
        <v>0</v>
      </c>
      <c r="G1301" s="178">
        <v>0</v>
      </c>
      <c r="H1301" s="178">
        <v>0</v>
      </c>
      <c r="I1301" s="178">
        <v>0</v>
      </c>
      <c r="J1301" s="178" t="s">
        <v>497</v>
      </c>
    </row>
    <row r="1302" spans="1:10">
      <c r="A1302" s="178">
        <v>40</v>
      </c>
      <c r="B1302" s="178" t="s">
        <v>565</v>
      </c>
      <c r="C1302" s="178">
        <v>0</v>
      </c>
      <c r="D1302" s="178">
        <v>0</v>
      </c>
      <c r="E1302" s="178">
        <v>0</v>
      </c>
      <c r="F1302" s="178">
        <v>0</v>
      </c>
      <c r="G1302" s="178">
        <v>0</v>
      </c>
      <c r="H1302" s="178">
        <v>0</v>
      </c>
      <c r="I1302" s="178">
        <v>0</v>
      </c>
      <c r="J1302" s="178" t="s">
        <v>497</v>
      </c>
    </row>
    <row r="1303" spans="1:10">
      <c r="A1303" s="178">
        <v>50</v>
      </c>
      <c r="B1303" s="178" t="s">
        <v>566</v>
      </c>
      <c r="C1303" s="178">
        <v>0</v>
      </c>
      <c r="D1303" s="178">
        <v>0</v>
      </c>
      <c r="E1303" s="178">
        <v>0</v>
      </c>
      <c r="F1303" s="178">
        <v>0</v>
      </c>
      <c r="G1303" s="178">
        <v>0</v>
      </c>
      <c r="H1303" s="178">
        <v>0</v>
      </c>
      <c r="I1303" s="178">
        <v>0</v>
      </c>
      <c r="J1303" s="178" t="s">
        <v>497</v>
      </c>
    </row>
    <row r="1304" spans="1:10">
      <c r="A1304" s="178">
        <v>60</v>
      </c>
      <c r="B1304" s="178" t="s">
        <v>268</v>
      </c>
      <c r="C1304" s="178">
        <v>0</v>
      </c>
      <c r="D1304" s="178">
        <v>0</v>
      </c>
      <c r="E1304" s="178">
        <v>0</v>
      </c>
      <c r="F1304" s="178">
        <v>0</v>
      </c>
      <c r="G1304" s="178">
        <v>0</v>
      </c>
      <c r="H1304" s="178">
        <v>0</v>
      </c>
      <c r="I1304" s="178">
        <v>0</v>
      </c>
      <c r="J1304" s="178" t="s">
        <v>497</v>
      </c>
    </row>
    <row r="1305" spans="1:10">
      <c r="A1305" s="178">
        <v>70</v>
      </c>
      <c r="B1305" s="178" t="s">
        <v>567</v>
      </c>
      <c r="C1305" s="178">
        <v>947.26</v>
      </c>
      <c r="D1305" s="178">
        <v>0</v>
      </c>
      <c r="E1305" s="178">
        <v>947.26</v>
      </c>
      <c r="F1305" s="178">
        <v>0</v>
      </c>
      <c r="G1305" s="178">
        <v>0</v>
      </c>
      <c r="H1305" s="178">
        <v>947.26</v>
      </c>
      <c r="I1305" s="178">
        <v>947.26</v>
      </c>
      <c r="J1305" s="178" t="s">
        <v>497</v>
      </c>
    </row>
    <row r="1306" spans="1:10">
      <c r="A1306" s="178">
        <v>80</v>
      </c>
      <c r="B1306" s="178" t="s">
        <v>568</v>
      </c>
      <c r="C1306" s="178">
        <v>0</v>
      </c>
      <c r="D1306" s="178">
        <v>0</v>
      </c>
      <c r="E1306" s="178">
        <v>0</v>
      </c>
      <c r="F1306" s="178">
        <v>0</v>
      </c>
      <c r="G1306" s="178">
        <v>0</v>
      </c>
      <c r="H1306" s="178">
        <v>0</v>
      </c>
      <c r="I1306" s="178">
        <v>0</v>
      </c>
      <c r="J1306" s="178" t="s">
        <v>497</v>
      </c>
    </row>
    <row r="1307" spans="1:10">
      <c r="A1307" s="178">
        <v>100</v>
      </c>
      <c r="B1307" s="178" t="s">
        <v>569</v>
      </c>
      <c r="C1307" s="178">
        <v>7606.87</v>
      </c>
      <c r="D1307" s="178">
        <v>0</v>
      </c>
      <c r="E1307" s="178">
        <v>7606.87</v>
      </c>
      <c r="F1307" s="178">
        <v>3727.8</v>
      </c>
      <c r="G1307" s="178">
        <v>3727.8</v>
      </c>
      <c r="H1307" s="178">
        <v>3879.07</v>
      </c>
      <c r="I1307" s="178">
        <v>3879.07</v>
      </c>
      <c r="J1307" s="178" t="s">
        <v>497</v>
      </c>
    </row>
    <row r="1308" spans="1:10">
      <c r="A1308" s="178">
        <v>110</v>
      </c>
      <c r="B1308" s="178" t="s">
        <v>570</v>
      </c>
      <c r="C1308" s="178">
        <v>0</v>
      </c>
      <c r="D1308" s="178">
        <v>0</v>
      </c>
      <c r="E1308" s="178">
        <v>0</v>
      </c>
      <c r="F1308" s="178">
        <v>0</v>
      </c>
      <c r="G1308" s="178">
        <v>0</v>
      </c>
      <c r="H1308" s="178">
        <v>0</v>
      </c>
      <c r="I1308" s="178">
        <v>0</v>
      </c>
      <c r="J1308" s="178" t="s">
        <v>497</v>
      </c>
    </row>
    <row r="1309" spans="1:10">
      <c r="A1309" s="178">
        <v>120</v>
      </c>
      <c r="B1309" s="178" t="s">
        <v>571</v>
      </c>
      <c r="C1309" s="178">
        <v>434385</v>
      </c>
      <c r="D1309" s="178">
        <v>0</v>
      </c>
      <c r="E1309" s="178">
        <v>434385</v>
      </c>
      <c r="F1309" s="178">
        <v>0</v>
      </c>
      <c r="G1309" s="178">
        <v>0</v>
      </c>
      <c r="H1309" s="178">
        <v>434385</v>
      </c>
      <c r="I1309" s="178">
        <v>434385</v>
      </c>
      <c r="J1309" s="178" t="s">
        <v>497</v>
      </c>
    </row>
    <row r="1310" spans="1:10">
      <c r="A1310" s="178">
        <v>130</v>
      </c>
      <c r="B1310" s="178" t="s">
        <v>572</v>
      </c>
      <c r="C1310" s="178">
        <v>412623</v>
      </c>
      <c r="D1310" s="178">
        <v>0</v>
      </c>
      <c r="E1310" s="178">
        <v>412623</v>
      </c>
      <c r="F1310" s="178">
        <v>0</v>
      </c>
      <c r="G1310" s="178">
        <v>0</v>
      </c>
      <c r="H1310" s="178">
        <v>412623</v>
      </c>
      <c r="I1310" s="178">
        <v>412623</v>
      </c>
      <c r="J1310" s="178" t="s">
        <v>497</v>
      </c>
    </row>
    <row r="1311" spans="1:10">
      <c r="A1311" s="178">
        <v>140</v>
      </c>
      <c r="B1311" s="178" t="s">
        <v>573</v>
      </c>
      <c r="C1311" s="178">
        <v>0</v>
      </c>
      <c r="D1311" s="178">
        <v>0</v>
      </c>
      <c r="E1311" s="178">
        <v>0</v>
      </c>
      <c r="F1311" s="178">
        <v>0</v>
      </c>
      <c r="G1311" s="178">
        <v>0</v>
      </c>
      <c r="H1311" s="178">
        <v>0</v>
      </c>
      <c r="I1311" s="178">
        <v>0</v>
      </c>
      <c r="J1311" s="178" t="s">
        <v>497</v>
      </c>
    </row>
    <row r="1312" spans="1:10">
      <c r="A1312" s="178">
        <v>150</v>
      </c>
      <c r="B1312" s="178" t="s">
        <v>574</v>
      </c>
      <c r="C1312" s="178">
        <v>0</v>
      </c>
      <c r="D1312" s="178">
        <v>0</v>
      </c>
      <c r="E1312" s="178">
        <v>0</v>
      </c>
      <c r="F1312" s="178">
        <v>0</v>
      </c>
      <c r="G1312" s="178">
        <v>0</v>
      </c>
      <c r="H1312" s="178">
        <v>0</v>
      </c>
      <c r="I1312" s="178">
        <v>0</v>
      </c>
      <c r="J1312" s="178" t="s">
        <v>497</v>
      </c>
    </row>
    <row r="1313" spans="1:10">
      <c r="A1313" s="178">
        <v>160</v>
      </c>
      <c r="B1313" s="178" t="s">
        <v>575</v>
      </c>
      <c r="C1313" s="178">
        <v>0</v>
      </c>
      <c r="D1313" s="178">
        <v>0</v>
      </c>
      <c r="E1313" s="178">
        <v>0</v>
      </c>
      <c r="F1313" s="178">
        <v>0</v>
      </c>
      <c r="G1313" s="178">
        <v>0</v>
      </c>
      <c r="H1313" s="178">
        <v>0</v>
      </c>
      <c r="I1313" s="178">
        <v>0</v>
      </c>
      <c r="J1313" s="178" t="s">
        <v>497</v>
      </c>
    </row>
    <row r="1314" spans="1:10">
      <c r="A1314" s="178">
        <v>170</v>
      </c>
      <c r="B1314" s="178" t="s">
        <v>576</v>
      </c>
      <c r="C1314" s="178">
        <v>172975</v>
      </c>
      <c r="D1314" s="178">
        <v>0</v>
      </c>
      <c r="E1314" s="178">
        <v>172975</v>
      </c>
      <c r="F1314" s="178">
        <v>0</v>
      </c>
      <c r="G1314" s="178">
        <v>0</v>
      </c>
      <c r="H1314" s="178">
        <v>172975</v>
      </c>
      <c r="I1314" s="178">
        <v>172975</v>
      </c>
      <c r="J1314" s="178" t="s">
        <v>497</v>
      </c>
    </row>
    <row r="1315" spans="1:10">
      <c r="A1315" s="178">
        <v>180</v>
      </c>
      <c r="B1315" s="178" t="s">
        <v>577</v>
      </c>
      <c r="C1315" s="178">
        <v>3450</v>
      </c>
      <c r="D1315" s="178">
        <v>0</v>
      </c>
      <c r="E1315" s="178">
        <v>3450</v>
      </c>
      <c r="F1315" s="178">
        <v>0</v>
      </c>
      <c r="G1315" s="178">
        <v>0</v>
      </c>
      <c r="H1315" s="178">
        <v>3450</v>
      </c>
      <c r="I1315" s="178">
        <v>3450</v>
      </c>
      <c r="J1315" s="178" t="s">
        <v>497</v>
      </c>
    </row>
    <row r="1316" spans="1:10">
      <c r="A1316" s="178">
        <v>190</v>
      </c>
      <c r="B1316" s="178" t="s">
        <v>578</v>
      </c>
      <c r="C1316" s="178">
        <v>-352467.52</v>
      </c>
      <c r="D1316" s="178">
        <v>0</v>
      </c>
      <c r="E1316" s="178">
        <v>-352467.52</v>
      </c>
      <c r="F1316" s="178">
        <v>-3786.04</v>
      </c>
      <c r="G1316" s="178">
        <v>-3786.04</v>
      </c>
      <c r="H1316" s="178">
        <v>-348681.48</v>
      </c>
      <c r="I1316" s="178">
        <v>-348681.48</v>
      </c>
      <c r="J1316" s="178" t="s">
        <v>497</v>
      </c>
    </row>
    <row r="1317" spans="1:10">
      <c r="A1317" s="178">
        <v>200</v>
      </c>
      <c r="B1317" s="178" t="s">
        <v>579</v>
      </c>
      <c r="C1317" s="178">
        <v>670965.48</v>
      </c>
      <c r="D1317" s="178">
        <v>0</v>
      </c>
      <c r="E1317" s="178">
        <v>670965.48</v>
      </c>
      <c r="F1317" s="178">
        <v>-3786.04</v>
      </c>
      <c r="G1317" s="178">
        <v>-3786.04</v>
      </c>
      <c r="H1317" s="178">
        <v>674751.52</v>
      </c>
      <c r="I1317" s="178">
        <v>674751.52</v>
      </c>
      <c r="J1317" s="178" t="s">
        <v>497</v>
      </c>
    </row>
    <row r="1318" spans="1:10">
      <c r="A1318" s="178">
        <v>210</v>
      </c>
      <c r="B1318" s="178" t="s">
        <v>580</v>
      </c>
      <c r="C1318" s="178">
        <v>0</v>
      </c>
      <c r="D1318" s="178">
        <v>0</v>
      </c>
      <c r="E1318" s="178">
        <v>0</v>
      </c>
      <c r="F1318" s="178">
        <v>0</v>
      </c>
      <c r="G1318" s="178">
        <v>0</v>
      </c>
      <c r="H1318" s="178">
        <v>0</v>
      </c>
      <c r="I1318" s="178">
        <v>0</v>
      </c>
      <c r="J1318" s="178" t="s">
        <v>497</v>
      </c>
    </row>
    <row r="1319" spans="1:10">
      <c r="A1319" s="178">
        <v>220</v>
      </c>
      <c r="B1319" s="178" t="s">
        <v>581</v>
      </c>
      <c r="C1319" s="178">
        <v>0</v>
      </c>
      <c r="D1319" s="178">
        <v>0</v>
      </c>
      <c r="E1319" s="178">
        <v>0</v>
      </c>
      <c r="F1319" s="178">
        <v>0</v>
      </c>
      <c r="G1319" s="178">
        <v>0</v>
      </c>
      <c r="H1319" s="178">
        <v>0</v>
      </c>
      <c r="I1319" s="178">
        <v>0</v>
      </c>
      <c r="J1319" s="178" t="s">
        <v>497</v>
      </c>
    </row>
    <row r="1320" spans="1:10">
      <c r="A1320" s="178">
        <v>230</v>
      </c>
      <c r="B1320" s="178" t="s">
        <v>582</v>
      </c>
      <c r="C1320" s="178">
        <v>0</v>
      </c>
      <c r="D1320" s="178">
        <v>0</v>
      </c>
      <c r="E1320" s="178">
        <v>0</v>
      </c>
      <c r="F1320" s="178">
        <v>0</v>
      </c>
      <c r="G1320" s="178">
        <v>0</v>
      </c>
      <c r="H1320" s="178">
        <v>0</v>
      </c>
      <c r="I1320" s="178">
        <v>0</v>
      </c>
      <c r="J1320" s="178" t="s">
        <v>497</v>
      </c>
    </row>
    <row r="1321" spans="1:10">
      <c r="A1321" s="178">
        <v>240</v>
      </c>
      <c r="B1321" s="178" t="s">
        <v>583</v>
      </c>
      <c r="C1321" s="178">
        <v>-3022</v>
      </c>
      <c r="D1321" s="178">
        <v>0</v>
      </c>
      <c r="E1321" s="178">
        <v>-3022</v>
      </c>
      <c r="F1321" s="178">
        <v>0</v>
      </c>
      <c r="G1321" s="178">
        <v>0</v>
      </c>
      <c r="H1321" s="178">
        <v>-3022</v>
      </c>
      <c r="I1321" s="178">
        <v>-3022</v>
      </c>
      <c r="J1321" s="178" t="s">
        <v>497</v>
      </c>
    </row>
    <row r="1322" spans="1:10">
      <c r="A1322" s="178">
        <v>250</v>
      </c>
      <c r="B1322" s="178" t="s">
        <v>584</v>
      </c>
      <c r="C1322" s="178">
        <v>-3022</v>
      </c>
      <c r="D1322" s="178">
        <v>0</v>
      </c>
      <c r="E1322" s="178">
        <v>-3022</v>
      </c>
      <c r="F1322" s="178">
        <v>0</v>
      </c>
      <c r="G1322" s="178">
        <v>0</v>
      </c>
      <c r="H1322" s="178">
        <v>-3022</v>
      </c>
      <c r="I1322" s="178">
        <v>-3022</v>
      </c>
      <c r="J1322" s="178" t="s">
        <v>497</v>
      </c>
    </row>
    <row r="1323" spans="1:10">
      <c r="A1323" s="178">
        <v>260</v>
      </c>
      <c r="B1323" s="178" t="s">
        <v>585</v>
      </c>
      <c r="C1323" s="178">
        <v>0</v>
      </c>
      <c r="D1323" s="178">
        <v>0</v>
      </c>
      <c r="E1323" s="178">
        <v>0</v>
      </c>
      <c r="F1323" s="178">
        <v>0</v>
      </c>
      <c r="G1323" s="178">
        <v>0</v>
      </c>
      <c r="H1323" s="178">
        <v>0</v>
      </c>
      <c r="I1323" s="178">
        <v>0</v>
      </c>
      <c r="J1323" s="178" t="s">
        <v>497</v>
      </c>
    </row>
    <row r="1324" spans="1:10">
      <c r="A1324" s="178">
        <v>270</v>
      </c>
      <c r="B1324" s="178" t="s">
        <v>586</v>
      </c>
      <c r="C1324" s="178">
        <v>0</v>
      </c>
      <c r="D1324" s="178">
        <v>0</v>
      </c>
      <c r="E1324" s="178">
        <v>0</v>
      </c>
      <c r="F1324" s="178">
        <v>0</v>
      </c>
      <c r="G1324" s="178">
        <v>0</v>
      </c>
      <c r="H1324" s="178">
        <v>0</v>
      </c>
      <c r="I1324" s="178">
        <v>0</v>
      </c>
      <c r="J1324" s="178" t="s">
        <v>497</v>
      </c>
    </row>
    <row r="1325" spans="1:10">
      <c r="A1325" s="178">
        <v>280</v>
      </c>
      <c r="B1325" s="178" t="s">
        <v>587</v>
      </c>
      <c r="C1325" s="178">
        <v>0</v>
      </c>
      <c r="D1325" s="178">
        <v>0</v>
      </c>
      <c r="E1325" s="178">
        <v>0</v>
      </c>
      <c r="F1325" s="178">
        <v>0</v>
      </c>
      <c r="G1325" s="178">
        <v>0</v>
      </c>
      <c r="H1325" s="178">
        <v>0</v>
      </c>
      <c r="I1325" s="178">
        <v>0</v>
      </c>
      <c r="J1325" s="178" t="s">
        <v>497</v>
      </c>
    </row>
    <row r="1326" spans="1:10">
      <c r="A1326" s="178">
        <v>400</v>
      </c>
      <c r="B1326" s="178" t="s">
        <v>588</v>
      </c>
      <c r="C1326" s="178">
        <v>675550.35</v>
      </c>
      <c r="D1326" s="178">
        <v>0</v>
      </c>
      <c r="E1326" s="178">
        <v>675550.35</v>
      </c>
      <c r="F1326" s="178">
        <v>-58.24</v>
      </c>
      <c r="G1326" s="178">
        <v>-58.24</v>
      </c>
      <c r="H1326" s="178">
        <v>675608.59</v>
      </c>
      <c r="I1326" s="178">
        <v>675608.59</v>
      </c>
      <c r="J1326" s="178" t="s">
        <v>497</v>
      </c>
    </row>
    <row r="1327" spans="1:10">
      <c r="A1327" s="178">
        <v>410</v>
      </c>
      <c r="B1327" s="178" t="s">
        <v>589</v>
      </c>
      <c r="C1327" s="178">
        <v>0</v>
      </c>
      <c r="D1327" s="178">
        <v>0</v>
      </c>
      <c r="E1327" s="178">
        <v>0</v>
      </c>
      <c r="F1327" s="178">
        <v>0</v>
      </c>
      <c r="G1327" s="178">
        <v>0</v>
      </c>
      <c r="H1327" s="178">
        <v>0</v>
      </c>
      <c r="I1327" s="178">
        <v>0</v>
      </c>
      <c r="J1327" s="178" t="s">
        <v>497</v>
      </c>
    </row>
    <row r="1328" spans="1:10">
      <c r="A1328" s="178">
        <v>420</v>
      </c>
      <c r="B1328" s="178" t="s">
        <v>590</v>
      </c>
      <c r="C1328" s="178">
        <v>0</v>
      </c>
      <c r="D1328" s="178">
        <v>0</v>
      </c>
      <c r="E1328" s="178">
        <v>0</v>
      </c>
      <c r="F1328" s="178">
        <v>0</v>
      </c>
      <c r="G1328" s="178">
        <v>0</v>
      </c>
      <c r="H1328" s="178">
        <v>0</v>
      </c>
      <c r="I1328" s="178">
        <v>0</v>
      </c>
      <c r="J1328" s="178" t="s">
        <v>497</v>
      </c>
    </row>
    <row r="1329" spans="1:10">
      <c r="A1329" s="178">
        <v>430</v>
      </c>
      <c r="B1329" s="178" t="s">
        <v>591</v>
      </c>
      <c r="C1329" s="178">
        <v>0</v>
      </c>
      <c r="D1329" s="178">
        <v>0</v>
      </c>
      <c r="E1329" s="178">
        <v>0</v>
      </c>
      <c r="F1329" s="178">
        <v>0</v>
      </c>
      <c r="G1329" s="178">
        <v>0</v>
      </c>
      <c r="H1329" s="178">
        <v>0</v>
      </c>
      <c r="I1329" s="178">
        <v>0</v>
      </c>
      <c r="J1329" s="178" t="s">
        <v>497</v>
      </c>
    </row>
    <row r="1330" spans="1:10">
      <c r="A1330" s="178">
        <v>440</v>
      </c>
      <c r="B1330" s="178" t="s">
        <v>592</v>
      </c>
      <c r="C1330" s="178">
        <v>0</v>
      </c>
      <c r="D1330" s="178">
        <v>0</v>
      </c>
      <c r="E1330" s="178">
        <v>0</v>
      </c>
      <c r="F1330" s="178">
        <v>0</v>
      </c>
      <c r="G1330" s="178">
        <v>0</v>
      </c>
      <c r="H1330" s="178">
        <v>0</v>
      </c>
      <c r="I1330" s="178">
        <v>0</v>
      </c>
      <c r="J1330" s="178" t="s">
        <v>497</v>
      </c>
    </row>
    <row r="1331" spans="1:10">
      <c r="A1331" s="178">
        <v>450</v>
      </c>
      <c r="B1331" s="178" t="s">
        <v>593</v>
      </c>
      <c r="C1331" s="178">
        <v>0</v>
      </c>
      <c r="D1331" s="178">
        <v>0</v>
      </c>
      <c r="E1331" s="178">
        <v>0</v>
      </c>
      <c r="F1331" s="178">
        <v>0</v>
      </c>
      <c r="G1331" s="178">
        <v>0</v>
      </c>
      <c r="H1331" s="178">
        <v>0</v>
      </c>
      <c r="I1331" s="178">
        <v>0</v>
      </c>
      <c r="J1331" s="178" t="s">
        <v>497</v>
      </c>
    </row>
    <row r="1332" spans="1:10">
      <c r="A1332" s="178">
        <v>460</v>
      </c>
      <c r="B1332" s="178" t="s">
        <v>594</v>
      </c>
      <c r="C1332" s="178">
        <v>0</v>
      </c>
      <c r="D1332" s="178">
        <v>0</v>
      </c>
      <c r="E1332" s="178">
        <v>0</v>
      </c>
      <c r="F1332" s="178">
        <v>0</v>
      </c>
      <c r="G1332" s="178">
        <v>0</v>
      </c>
      <c r="H1332" s="178">
        <v>0</v>
      </c>
      <c r="I1332" s="178">
        <v>0</v>
      </c>
      <c r="J1332" s="178" t="s">
        <v>497</v>
      </c>
    </row>
    <row r="1333" spans="1:10">
      <c r="A1333" s="178">
        <v>500</v>
      </c>
      <c r="B1333" s="178" t="s">
        <v>595</v>
      </c>
      <c r="C1333" s="178">
        <v>0</v>
      </c>
      <c r="D1333" s="178">
        <v>0</v>
      </c>
      <c r="E1333" s="178">
        <v>0</v>
      </c>
      <c r="F1333" s="178">
        <v>0</v>
      </c>
      <c r="G1333" s="178">
        <v>0</v>
      </c>
      <c r="H1333" s="178">
        <v>0</v>
      </c>
      <c r="I1333" s="178">
        <v>0</v>
      </c>
      <c r="J1333" s="178" t="s">
        <v>497</v>
      </c>
    </row>
    <row r="1334" spans="1:10">
      <c r="A1334" s="178">
        <v>510</v>
      </c>
      <c r="B1334" s="178" t="s">
        <v>596</v>
      </c>
      <c r="C1334" s="178">
        <v>0</v>
      </c>
      <c r="D1334" s="178">
        <v>0</v>
      </c>
      <c r="E1334" s="178">
        <v>0</v>
      </c>
      <c r="F1334" s="178">
        <v>0</v>
      </c>
      <c r="G1334" s="178">
        <v>0</v>
      </c>
      <c r="H1334" s="178">
        <v>0</v>
      </c>
      <c r="I1334" s="178">
        <v>0</v>
      </c>
      <c r="J1334" s="178" t="s">
        <v>497</v>
      </c>
    </row>
    <row r="1335" spans="1:10">
      <c r="A1335" s="178">
        <v>520</v>
      </c>
      <c r="B1335" s="178" t="s">
        <v>597</v>
      </c>
      <c r="C1335" s="178">
        <v>1133122.17</v>
      </c>
      <c r="D1335" s="178">
        <v>0</v>
      </c>
      <c r="E1335" s="178">
        <v>1133122.17</v>
      </c>
      <c r="F1335" s="178">
        <v>0</v>
      </c>
      <c r="G1335" s="178">
        <v>0</v>
      </c>
      <c r="H1335" s="178">
        <v>1133122.17</v>
      </c>
      <c r="I1335" s="178">
        <v>1133122.17</v>
      </c>
      <c r="J1335" s="178" t="s">
        <v>497</v>
      </c>
    </row>
    <row r="1336" spans="1:10">
      <c r="A1336" s="178">
        <v>530</v>
      </c>
      <c r="B1336" s="178" t="s">
        <v>598</v>
      </c>
      <c r="C1336" s="178">
        <v>0</v>
      </c>
      <c r="D1336" s="178">
        <v>0</v>
      </c>
      <c r="E1336" s="178">
        <v>0</v>
      </c>
      <c r="F1336" s="178">
        <v>0</v>
      </c>
      <c r="G1336" s="178">
        <v>0</v>
      </c>
      <c r="H1336" s="178">
        <v>0</v>
      </c>
      <c r="I1336" s="178">
        <v>0</v>
      </c>
      <c r="J1336" s="178" t="s">
        <v>497</v>
      </c>
    </row>
    <row r="1337" spans="1:10">
      <c r="A1337" s="178">
        <v>540</v>
      </c>
      <c r="B1337" s="178" t="s">
        <v>599</v>
      </c>
      <c r="C1337" s="178">
        <v>0</v>
      </c>
      <c r="D1337" s="178">
        <v>0</v>
      </c>
      <c r="E1337" s="178">
        <v>0</v>
      </c>
      <c r="F1337" s="178">
        <v>0</v>
      </c>
      <c r="G1337" s="178">
        <v>0</v>
      </c>
      <c r="H1337" s="178">
        <v>0</v>
      </c>
      <c r="I1337" s="178">
        <v>0</v>
      </c>
      <c r="J1337" s="178" t="s">
        <v>497</v>
      </c>
    </row>
    <row r="1338" spans="1:10">
      <c r="A1338" s="178">
        <v>600</v>
      </c>
      <c r="B1338" s="178" t="s">
        <v>600</v>
      </c>
      <c r="C1338" s="178">
        <v>1133122.17</v>
      </c>
      <c r="D1338" s="178">
        <v>0</v>
      </c>
      <c r="E1338" s="178">
        <v>1133122.17</v>
      </c>
      <c r="F1338" s="178">
        <v>0</v>
      </c>
      <c r="G1338" s="178">
        <v>0</v>
      </c>
      <c r="H1338" s="178">
        <v>1133122.17</v>
      </c>
      <c r="I1338" s="178">
        <v>1133122.17</v>
      </c>
      <c r="J1338" s="178" t="s">
        <v>497</v>
      </c>
    </row>
    <row r="1339" spans="1:10">
      <c r="A1339" s="178">
        <v>610</v>
      </c>
      <c r="B1339" s="178" t="s">
        <v>601</v>
      </c>
      <c r="C1339" s="178">
        <v>0</v>
      </c>
      <c r="D1339" s="178">
        <v>0</v>
      </c>
      <c r="E1339" s="178">
        <v>0</v>
      </c>
      <c r="F1339" s="178">
        <v>0</v>
      </c>
      <c r="G1339" s="178">
        <v>0</v>
      </c>
      <c r="H1339" s="178">
        <v>0</v>
      </c>
      <c r="I1339" s="178">
        <v>0</v>
      </c>
      <c r="J1339" s="178" t="s">
        <v>497</v>
      </c>
    </row>
    <row r="1340" spans="1:10">
      <c r="A1340" s="178">
        <v>620</v>
      </c>
      <c r="B1340" s="178"/>
      <c r="C1340" s="178">
        <v>0</v>
      </c>
      <c r="D1340" s="178">
        <v>0</v>
      </c>
      <c r="E1340" s="178">
        <v>0</v>
      </c>
      <c r="F1340" s="178">
        <v>0</v>
      </c>
      <c r="G1340" s="178">
        <v>0</v>
      </c>
      <c r="H1340" s="178">
        <v>0</v>
      </c>
      <c r="I1340" s="178">
        <v>0</v>
      </c>
      <c r="J1340" s="178" t="s">
        <v>497</v>
      </c>
    </row>
    <row r="1341" spans="1:10">
      <c r="A1341" s="178">
        <v>700</v>
      </c>
      <c r="B1341" s="178" t="s">
        <v>602</v>
      </c>
      <c r="C1341" s="178">
        <v>0</v>
      </c>
      <c r="D1341" s="178">
        <v>0</v>
      </c>
      <c r="E1341" s="178">
        <v>0</v>
      </c>
      <c r="F1341" s="178">
        <v>0</v>
      </c>
      <c r="G1341" s="178">
        <v>0</v>
      </c>
      <c r="H1341" s="178">
        <v>0</v>
      </c>
      <c r="I1341" s="178">
        <v>0</v>
      </c>
      <c r="J1341" s="178" t="s">
        <v>497</v>
      </c>
    </row>
    <row r="1342" spans="1:10">
      <c r="A1342" s="178">
        <v>710</v>
      </c>
      <c r="B1342" s="178" t="s">
        <v>558</v>
      </c>
      <c r="C1342" s="178">
        <v>0</v>
      </c>
      <c r="D1342" s="178">
        <v>0</v>
      </c>
      <c r="E1342" s="178">
        <v>0</v>
      </c>
      <c r="F1342" s="178">
        <v>0</v>
      </c>
      <c r="G1342" s="178">
        <v>0</v>
      </c>
      <c r="H1342" s="178">
        <v>0</v>
      </c>
      <c r="I1342" s="178">
        <v>0</v>
      </c>
      <c r="J1342" s="178" t="s">
        <v>497</v>
      </c>
    </row>
    <row r="1343" spans="1:10">
      <c r="A1343" s="178">
        <v>720</v>
      </c>
      <c r="B1343" s="178" t="s">
        <v>603</v>
      </c>
      <c r="C1343" s="178">
        <v>0</v>
      </c>
      <c r="D1343" s="178">
        <v>0</v>
      </c>
      <c r="E1343" s="178">
        <v>0</v>
      </c>
      <c r="F1343" s="178">
        <v>0</v>
      </c>
      <c r="G1343" s="178">
        <v>0</v>
      </c>
      <c r="H1343" s="178">
        <v>0</v>
      </c>
      <c r="I1343" s="178">
        <v>0</v>
      </c>
      <c r="J1343" s="178" t="s">
        <v>497</v>
      </c>
    </row>
    <row r="1344" spans="1:10">
      <c r="A1344" s="178">
        <v>730</v>
      </c>
      <c r="B1344" s="178" t="s">
        <v>604</v>
      </c>
      <c r="C1344" s="178">
        <v>0</v>
      </c>
      <c r="D1344" s="178">
        <v>0</v>
      </c>
      <c r="E1344" s="178">
        <v>0</v>
      </c>
      <c r="F1344" s="178">
        <v>0</v>
      </c>
      <c r="G1344" s="178">
        <v>0</v>
      </c>
      <c r="H1344" s="178">
        <v>0</v>
      </c>
      <c r="I1344" s="178">
        <v>0</v>
      </c>
      <c r="J1344" s="178" t="s">
        <v>497</v>
      </c>
    </row>
    <row r="1345" spans="1:10">
      <c r="A1345" s="178">
        <v>740</v>
      </c>
      <c r="B1345" s="178" t="s">
        <v>605</v>
      </c>
      <c r="C1345" s="178">
        <v>-339230.13</v>
      </c>
      <c r="D1345" s="178">
        <v>0</v>
      </c>
      <c r="E1345" s="178">
        <v>-339230.13</v>
      </c>
      <c r="F1345" s="178">
        <v>0</v>
      </c>
      <c r="G1345" s="178">
        <v>0</v>
      </c>
      <c r="H1345" s="178">
        <v>-334310.98</v>
      </c>
      <c r="I1345" s="178">
        <v>-339230.13</v>
      </c>
      <c r="J1345" s="178" t="s">
        <v>497</v>
      </c>
    </row>
    <row r="1346" spans="1:10">
      <c r="A1346" s="178">
        <v>750</v>
      </c>
      <c r="B1346" s="178" t="s">
        <v>474</v>
      </c>
      <c r="C1346" s="178">
        <v>-58.24</v>
      </c>
      <c r="D1346" s="178">
        <v>0</v>
      </c>
      <c r="E1346" s="178">
        <v>-58.24</v>
      </c>
      <c r="F1346" s="178">
        <v>-58.24</v>
      </c>
      <c r="G1346" s="178">
        <v>-58.24</v>
      </c>
      <c r="H1346" s="178">
        <v>-4919.15</v>
      </c>
      <c r="I1346" s="178">
        <v>0</v>
      </c>
      <c r="J1346" s="178" t="s">
        <v>497</v>
      </c>
    </row>
    <row r="1347" spans="1:10">
      <c r="A1347" s="178">
        <v>760</v>
      </c>
      <c r="B1347" s="178" t="s">
        <v>606</v>
      </c>
      <c r="C1347" s="178">
        <v>-118283.45</v>
      </c>
      <c r="D1347" s="178">
        <v>0</v>
      </c>
      <c r="E1347" s="178">
        <v>-118283.45</v>
      </c>
      <c r="F1347" s="178">
        <v>0</v>
      </c>
      <c r="G1347" s="178">
        <v>0</v>
      </c>
      <c r="H1347" s="178">
        <v>-118283.45</v>
      </c>
      <c r="I1347" s="178">
        <v>-118283.45</v>
      </c>
      <c r="J1347" s="178" t="s">
        <v>497</v>
      </c>
    </row>
    <row r="1348" spans="1:10">
      <c r="A1348" s="178">
        <v>770</v>
      </c>
      <c r="B1348" s="178"/>
      <c r="C1348" s="178">
        <v>0</v>
      </c>
      <c r="D1348" s="178">
        <v>0</v>
      </c>
      <c r="E1348" s="178">
        <v>0</v>
      </c>
      <c r="F1348" s="178">
        <v>0</v>
      </c>
      <c r="G1348" s="178">
        <v>0</v>
      </c>
      <c r="H1348" s="178">
        <v>0</v>
      </c>
      <c r="I1348" s="178">
        <v>0</v>
      </c>
      <c r="J1348" s="178" t="s">
        <v>497</v>
      </c>
    </row>
    <row r="1349" spans="1:10">
      <c r="A1349" s="178">
        <v>800</v>
      </c>
      <c r="B1349" s="178" t="s">
        <v>607</v>
      </c>
      <c r="C1349" s="178">
        <v>-457571.82</v>
      </c>
      <c r="D1349" s="178">
        <v>0</v>
      </c>
      <c r="E1349" s="178">
        <v>-457571.82</v>
      </c>
      <c r="F1349" s="178">
        <v>-58.24</v>
      </c>
      <c r="G1349" s="178">
        <v>-58.24</v>
      </c>
      <c r="H1349" s="178">
        <v>-457513.58</v>
      </c>
      <c r="I1349" s="178">
        <v>-457513.58</v>
      </c>
      <c r="J1349" s="178" t="s">
        <v>497</v>
      </c>
    </row>
    <row r="1350" spans="1:10">
      <c r="A1350" s="178">
        <v>900</v>
      </c>
      <c r="B1350" s="178" t="s">
        <v>608</v>
      </c>
      <c r="C1350" s="178">
        <v>675550.35</v>
      </c>
      <c r="D1350" s="178">
        <v>0</v>
      </c>
      <c r="E1350" s="178">
        <v>675550.35</v>
      </c>
      <c r="F1350" s="178">
        <v>-58.24</v>
      </c>
      <c r="G1350" s="178">
        <v>-58.24</v>
      </c>
      <c r="H1350" s="178">
        <v>675608.59</v>
      </c>
      <c r="I1350" s="178">
        <v>675608.59</v>
      </c>
      <c r="J1350" s="178" t="s">
        <v>497</v>
      </c>
    </row>
    <row r="1351" spans="1:10">
      <c r="A1351" s="178">
        <v>1000</v>
      </c>
      <c r="B1351" s="178" t="s">
        <v>559</v>
      </c>
      <c r="C1351" s="178">
        <v>0</v>
      </c>
      <c r="D1351" s="178">
        <v>0</v>
      </c>
      <c r="E1351" s="178">
        <v>0</v>
      </c>
      <c r="F1351" s="178">
        <v>0</v>
      </c>
      <c r="G1351" s="178">
        <v>0</v>
      </c>
      <c r="H1351" s="178">
        <v>0</v>
      </c>
      <c r="I1351" s="178">
        <v>0</v>
      </c>
      <c r="J1351" s="178" t="s">
        <v>497</v>
      </c>
    </row>
    <row r="1352" spans="1:10">
      <c r="A1352" s="178" t="s">
        <v>483</v>
      </c>
      <c r="B1352" s="178" t="s">
        <v>402</v>
      </c>
      <c r="C1352" s="178" t="s">
        <v>538</v>
      </c>
      <c r="D1352" s="178" t="s">
        <v>539</v>
      </c>
      <c r="E1352" s="178" t="s">
        <v>540</v>
      </c>
      <c r="F1352" s="178" t="s">
        <v>541</v>
      </c>
      <c r="G1352" s="178" t="s">
        <v>542</v>
      </c>
      <c r="H1352" s="178" t="s">
        <v>543</v>
      </c>
      <c r="I1352" s="178" t="s">
        <v>544</v>
      </c>
      <c r="J1352" s="178" t="s">
        <v>405</v>
      </c>
    </row>
    <row r="1353" spans="1:10">
      <c r="A1353" s="178">
        <v>10</v>
      </c>
      <c r="B1353" s="178" t="s">
        <v>545</v>
      </c>
      <c r="C1353" s="178">
        <v>0</v>
      </c>
      <c r="D1353" s="178">
        <v>0</v>
      </c>
      <c r="E1353" s="178">
        <v>0</v>
      </c>
      <c r="F1353" s="178">
        <v>0</v>
      </c>
      <c r="G1353" s="178">
        <v>0</v>
      </c>
      <c r="H1353" s="178">
        <v>0</v>
      </c>
      <c r="I1353" s="178">
        <v>0</v>
      </c>
      <c r="J1353" s="178" t="s">
        <v>497</v>
      </c>
    </row>
    <row r="1354" spans="1:10">
      <c r="A1354" s="178">
        <v>20</v>
      </c>
      <c r="B1354" s="178" t="s">
        <v>563</v>
      </c>
      <c r="C1354" s="178">
        <v>146605.5</v>
      </c>
      <c r="D1354" s="178">
        <v>309511</v>
      </c>
      <c r="E1354" s="178">
        <v>-162905.5</v>
      </c>
      <c r="F1354" s="178">
        <v>-171385.57</v>
      </c>
      <c r="G1354" s="178">
        <v>-171385.57</v>
      </c>
      <c r="H1354" s="178">
        <v>317991.07</v>
      </c>
      <c r="I1354" s="178">
        <v>317991.07</v>
      </c>
      <c r="J1354" s="178" t="s">
        <v>497</v>
      </c>
    </row>
    <row r="1355" spans="1:10">
      <c r="A1355" s="178">
        <v>30</v>
      </c>
      <c r="B1355" s="178" t="s">
        <v>564</v>
      </c>
      <c r="C1355" s="178">
        <v>0</v>
      </c>
      <c r="D1355" s="178">
        <v>0</v>
      </c>
      <c r="E1355" s="178">
        <v>0</v>
      </c>
      <c r="F1355" s="178">
        <v>0</v>
      </c>
      <c r="G1355" s="178">
        <v>0</v>
      </c>
      <c r="H1355" s="178">
        <v>0</v>
      </c>
      <c r="I1355" s="178">
        <v>0</v>
      </c>
      <c r="J1355" s="178" t="s">
        <v>497</v>
      </c>
    </row>
    <row r="1356" spans="1:10">
      <c r="A1356" s="178">
        <v>40</v>
      </c>
      <c r="B1356" s="178" t="s">
        <v>565</v>
      </c>
      <c r="C1356" s="178">
        <v>180884.92</v>
      </c>
      <c r="D1356" s="178">
        <v>168212</v>
      </c>
      <c r="E1356" s="178">
        <v>12672.92</v>
      </c>
      <c r="F1356" s="178">
        <v>26540.12</v>
      </c>
      <c r="G1356" s="178">
        <v>26540.12</v>
      </c>
      <c r="H1356" s="178">
        <v>154344.8</v>
      </c>
      <c r="I1356" s="178">
        <v>154344.8</v>
      </c>
      <c r="J1356" s="178" t="s">
        <v>497</v>
      </c>
    </row>
    <row r="1357" spans="1:10">
      <c r="A1357" s="178">
        <v>50</v>
      </c>
      <c r="B1357" s="178" t="s">
        <v>566</v>
      </c>
      <c r="C1357" s="178">
        <v>0</v>
      </c>
      <c r="D1357" s="178">
        <v>0</v>
      </c>
      <c r="E1357" s="178">
        <v>0</v>
      </c>
      <c r="F1357" s="178">
        <v>0</v>
      </c>
      <c r="G1357" s="178">
        <v>0</v>
      </c>
      <c r="H1357" s="178">
        <v>0</v>
      </c>
      <c r="I1357" s="178">
        <v>0</v>
      </c>
      <c r="J1357" s="178" t="s">
        <v>497</v>
      </c>
    </row>
    <row r="1358" spans="1:10">
      <c r="A1358" s="178">
        <v>60</v>
      </c>
      <c r="B1358" s="178" t="s">
        <v>268</v>
      </c>
      <c r="C1358" s="178">
        <v>20130.57</v>
      </c>
      <c r="D1358" s="178">
        <v>18833</v>
      </c>
      <c r="E1358" s="178">
        <v>1297.57</v>
      </c>
      <c r="F1358" s="178">
        <v>2774.17</v>
      </c>
      <c r="G1358" s="178">
        <v>2774.17</v>
      </c>
      <c r="H1358" s="178">
        <v>17356.4</v>
      </c>
      <c r="I1358" s="178">
        <v>17356.4</v>
      </c>
      <c r="J1358" s="178" t="s">
        <v>497</v>
      </c>
    </row>
    <row r="1359" spans="1:10">
      <c r="A1359" s="178">
        <v>70</v>
      </c>
      <c r="B1359" s="178" t="s">
        <v>567</v>
      </c>
      <c r="C1359" s="178">
        <v>46304.41</v>
      </c>
      <c r="D1359" s="178">
        <v>0</v>
      </c>
      <c r="E1359" s="178">
        <v>46304.41</v>
      </c>
      <c r="F1359" s="178">
        <v>-1227.11</v>
      </c>
      <c r="G1359" s="178">
        <v>-1227.11</v>
      </c>
      <c r="H1359" s="178">
        <v>47531.52</v>
      </c>
      <c r="I1359" s="178">
        <v>47531.52</v>
      </c>
      <c r="J1359" s="178" t="s">
        <v>497</v>
      </c>
    </row>
    <row r="1360" spans="1:10">
      <c r="A1360" s="178">
        <v>80</v>
      </c>
      <c r="B1360" s="178" t="s">
        <v>568</v>
      </c>
      <c r="C1360" s="178">
        <v>1257.61</v>
      </c>
      <c r="D1360" s="178">
        <v>33642</v>
      </c>
      <c r="E1360" s="178">
        <v>-32384.39</v>
      </c>
      <c r="F1360" s="178">
        <v>0</v>
      </c>
      <c r="G1360" s="178">
        <v>0</v>
      </c>
      <c r="H1360" s="178">
        <v>1257.61</v>
      </c>
      <c r="I1360" s="178">
        <v>1257.61</v>
      </c>
      <c r="J1360" s="178" t="s">
        <v>497</v>
      </c>
    </row>
    <row r="1361" spans="1:10">
      <c r="A1361" s="178">
        <v>100</v>
      </c>
      <c r="B1361" s="178" t="s">
        <v>569</v>
      </c>
      <c r="C1361" s="178">
        <v>395183.01</v>
      </c>
      <c r="D1361" s="178">
        <v>530198</v>
      </c>
      <c r="E1361" s="178">
        <v>-135014.99</v>
      </c>
      <c r="F1361" s="178">
        <v>-143298.39</v>
      </c>
      <c r="G1361" s="178">
        <v>-143298.39</v>
      </c>
      <c r="H1361" s="178">
        <v>538481.4</v>
      </c>
      <c r="I1361" s="178">
        <v>538481.4</v>
      </c>
      <c r="J1361" s="178" t="s">
        <v>497</v>
      </c>
    </row>
    <row r="1362" spans="1:10">
      <c r="A1362" s="178">
        <v>110</v>
      </c>
      <c r="B1362" s="178" t="s">
        <v>570</v>
      </c>
      <c r="C1362" s="178">
        <v>0</v>
      </c>
      <c r="D1362" s="178">
        <v>0</v>
      </c>
      <c r="E1362" s="178">
        <v>0</v>
      </c>
      <c r="F1362" s="178">
        <v>0</v>
      </c>
      <c r="G1362" s="178">
        <v>0</v>
      </c>
      <c r="H1362" s="178">
        <v>0</v>
      </c>
      <c r="I1362" s="178">
        <v>0</v>
      </c>
      <c r="J1362" s="178" t="s">
        <v>497</v>
      </c>
    </row>
    <row r="1363" spans="1:10">
      <c r="A1363" s="178">
        <v>120</v>
      </c>
      <c r="B1363" s="178" t="s">
        <v>571</v>
      </c>
      <c r="C1363" s="178">
        <v>0</v>
      </c>
      <c r="D1363" s="178">
        <v>0</v>
      </c>
      <c r="E1363" s="178">
        <v>0</v>
      </c>
      <c r="F1363" s="178">
        <v>0</v>
      </c>
      <c r="G1363" s="178">
        <v>0</v>
      </c>
      <c r="H1363" s="178">
        <v>0</v>
      </c>
      <c r="I1363" s="178">
        <v>0</v>
      </c>
      <c r="J1363" s="178" t="s">
        <v>497</v>
      </c>
    </row>
    <row r="1364" spans="1:10">
      <c r="A1364" s="178">
        <v>130</v>
      </c>
      <c r="B1364" s="178" t="s">
        <v>572</v>
      </c>
      <c r="C1364" s="178">
        <v>0</v>
      </c>
      <c r="D1364" s="178">
        <v>0</v>
      </c>
      <c r="E1364" s="178">
        <v>0</v>
      </c>
      <c r="F1364" s="178">
        <v>0</v>
      </c>
      <c r="G1364" s="178">
        <v>0</v>
      </c>
      <c r="H1364" s="178">
        <v>0</v>
      </c>
      <c r="I1364" s="178">
        <v>0</v>
      </c>
      <c r="J1364" s="178" t="s">
        <v>497</v>
      </c>
    </row>
    <row r="1365" spans="1:10">
      <c r="A1365" s="178">
        <v>140</v>
      </c>
      <c r="B1365" s="178" t="s">
        <v>573</v>
      </c>
      <c r="C1365" s="178">
        <v>0</v>
      </c>
      <c r="D1365" s="178">
        <v>509787</v>
      </c>
      <c r="E1365" s="178">
        <v>-509787</v>
      </c>
      <c r="F1365" s="178">
        <v>0</v>
      </c>
      <c r="G1365" s="178">
        <v>0</v>
      </c>
      <c r="H1365" s="178">
        <v>0</v>
      </c>
      <c r="I1365" s="178">
        <v>0</v>
      </c>
      <c r="J1365" s="178" t="s">
        <v>497</v>
      </c>
    </row>
    <row r="1366" spans="1:10">
      <c r="A1366" s="178">
        <v>150</v>
      </c>
      <c r="B1366" s="178" t="s">
        <v>574</v>
      </c>
      <c r="C1366" s="178">
        <v>0</v>
      </c>
      <c r="D1366" s="178">
        <v>0</v>
      </c>
      <c r="E1366" s="178">
        <v>0</v>
      </c>
      <c r="F1366" s="178">
        <v>0</v>
      </c>
      <c r="G1366" s="178">
        <v>0</v>
      </c>
      <c r="H1366" s="178">
        <v>0</v>
      </c>
      <c r="I1366" s="178">
        <v>0</v>
      </c>
      <c r="J1366" s="178" t="s">
        <v>497</v>
      </c>
    </row>
    <row r="1367" spans="1:10">
      <c r="A1367" s="178">
        <v>160</v>
      </c>
      <c r="B1367" s="178" t="s">
        <v>575</v>
      </c>
      <c r="C1367" s="178">
        <v>0</v>
      </c>
      <c r="D1367" s="178">
        <v>0</v>
      </c>
      <c r="E1367" s="178">
        <v>0</v>
      </c>
      <c r="F1367" s="178">
        <v>0</v>
      </c>
      <c r="G1367" s="178">
        <v>0</v>
      </c>
      <c r="H1367" s="178">
        <v>0</v>
      </c>
      <c r="I1367" s="178">
        <v>0</v>
      </c>
      <c r="J1367" s="178" t="s">
        <v>497</v>
      </c>
    </row>
    <row r="1368" spans="1:10">
      <c r="A1368" s="178">
        <v>170</v>
      </c>
      <c r="B1368" s="178" t="s">
        <v>576</v>
      </c>
      <c r="C1368" s="178">
        <v>508287.14</v>
      </c>
      <c r="D1368" s="178">
        <v>0</v>
      </c>
      <c r="E1368" s="178">
        <v>508287.14</v>
      </c>
      <c r="F1368" s="178">
        <v>0</v>
      </c>
      <c r="G1368" s="178">
        <v>0</v>
      </c>
      <c r="H1368" s="178">
        <v>508287.14</v>
      </c>
      <c r="I1368" s="178">
        <v>508287.14</v>
      </c>
      <c r="J1368" s="178" t="s">
        <v>497</v>
      </c>
    </row>
    <row r="1369" spans="1:10">
      <c r="A1369" s="178">
        <v>180</v>
      </c>
      <c r="B1369" s="178" t="s">
        <v>577</v>
      </c>
      <c r="C1369" s="178">
        <v>110187.01</v>
      </c>
      <c r="D1369" s="178">
        <v>188152</v>
      </c>
      <c r="E1369" s="178">
        <v>-77964.99</v>
      </c>
      <c r="F1369" s="178">
        <v>500</v>
      </c>
      <c r="G1369" s="178">
        <v>500</v>
      </c>
      <c r="H1369" s="178">
        <v>109687.01</v>
      </c>
      <c r="I1369" s="178">
        <v>109687.01</v>
      </c>
      <c r="J1369" s="178" t="s">
        <v>497</v>
      </c>
    </row>
    <row r="1370" spans="1:10">
      <c r="A1370" s="178">
        <v>190</v>
      </c>
      <c r="B1370" s="178" t="s">
        <v>578</v>
      </c>
      <c r="C1370" s="178">
        <v>-731671.83</v>
      </c>
      <c r="D1370" s="178">
        <v>-504895</v>
      </c>
      <c r="E1370" s="178">
        <v>-226776.83</v>
      </c>
      <c r="F1370" s="178">
        <v>-5887.62</v>
      </c>
      <c r="G1370" s="178">
        <v>-5887.62</v>
      </c>
      <c r="H1370" s="178">
        <v>-725784.21</v>
      </c>
      <c r="I1370" s="178">
        <v>-725784.21</v>
      </c>
      <c r="J1370" s="178" t="s">
        <v>497</v>
      </c>
    </row>
    <row r="1371" spans="1:10">
      <c r="A1371" s="178">
        <v>200</v>
      </c>
      <c r="B1371" s="178" t="s">
        <v>579</v>
      </c>
      <c r="C1371" s="178">
        <v>-113197.68</v>
      </c>
      <c r="D1371" s="178">
        <v>193044</v>
      </c>
      <c r="E1371" s="178">
        <v>-306241.68</v>
      </c>
      <c r="F1371" s="178">
        <v>-5387.62</v>
      </c>
      <c r="G1371" s="178">
        <v>-5387.62</v>
      </c>
      <c r="H1371" s="178">
        <v>-107810.06</v>
      </c>
      <c r="I1371" s="178">
        <v>-107810.06</v>
      </c>
      <c r="J1371" s="178" t="s">
        <v>497</v>
      </c>
    </row>
    <row r="1372" spans="1:10">
      <c r="A1372" s="178">
        <v>210</v>
      </c>
      <c r="B1372" s="178" t="s">
        <v>580</v>
      </c>
      <c r="C1372" s="178">
        <v>0</v>
      </c>
      <c r="D1372" s="178">
        <v>0</v>
      </c>
      <c r="E1372" s="178">
        <v>0</v>
      </c>
      <c r="F1372" s="178">
        <v>0</v>
      </c>
      <c r="G1372" s="178">
        <v>0</v>
      </c>
      <c r="H1372" s="178">
        <v>0</v>
      </c>
      <c r="I1372" s="178">
        <v>0</v>
      </c>
      <c r="J1372" s="178" t="s">
        <v>497</v>
      </c>
    </row>
    <row r="1373" spans="1:10">
      <c r="A1373" s="178">
        <v>220</v>
      </c>
      <c r="B1373" s="178" t="s">
        <v>581</v>
      </c>
      <c r="C1373" s="178">
        <v>36210</v>
      </c>
      <c r="D1373" s="178">
        <v>36210</v>
      </c>
      <c r="E1373" s="178">
        <v>0</v>
      </c>
      <c r="F1373" s="178">
        <v>0</v>
      </c>
      <c r="G1373" s="178">
        <v>0</v>
      </c>
      <c r="H1373" s="178">
        <v>36210</v>
      </c>
      <c r="I1373" s="178">
        <v>36210</v>
      </c>
      <c r="J1373" s="178" t="s">
        <v>497</v>
      </c>
    </row>
    <row r="1374" spans="1:10">
      <c r="A1374" s="178">
        <v>230</v>
      </c>
      <c r="B1374" s="178" t="s">
        <v>582</v>
      </c>
      <c r="C1374" s="178">
        <v>376367.66</v>
      </c>
      <c r="D1374" s="178">
        <v>365799</v>
      </c>
      <c r="E1374" s="178">
        <v>10568.66</v>
      </c>
      <c r="F1374" s="178">
        <v>580.64</v>
      </c>
      <c r="G1374" s="178">
        <v>580.64</v>
      </c>
      <c r="H1374" s="178">
        <v>375787.02</v>
      </c>
      <c r="I1374" s="178">
        <v>375787.02</v>
      </c>
      <c r="J1374" s="178" t="s">
        <v>497</v>
      </c>
    </row>
    <row r="1375" spans="1:10">
      <c r="A1375" s="178">
        <v>240</v>
      </c>
      <c r="B1375" s="178" t="s">
        <v>583</v>
      </c>
      <c r="C1375" s="178">
        <v>-68074.03</v>
      </c>
      <c r="D1375" s="178">
        <v>-278926</v>
      </c>
      <c r="E1375" s="178">
        <v>210851.97</v>
      </c>
      <c r="F1375" s="178">
        <v>-416.66</v>
      </c>
      <c r="G1375" s="178">
        <v>-416.66</v>
      </c>
      <c r="H1375" s="178">
        <v>-67657.37</v>
      </c>
      <c r="I1375" s="178">
        <v>-67657.37</v>
      </c>
      <c r="J1375" s="178" t="s">
        <v>497</v>
      </c>
    </row>
    <row r="1376" spans="1:10">
      <c r="A1376" s="178">
        <v>250</v>
      </c>
      <c r="B1376" s="178" t="s">
        <v>584</v>
      </c>
      <c r="C1376" s="178">
        <v>344503.63</v>
      </c>
      <c r="D1376" s="178">
        <v>123083</v>
      </c>
      <c r="E1376" s="178">
        <v>221420.63</v>
      </c>
      <c r="F1376" s="178">
        <v>163.98</v>
      </c>
      <c r="G1376" s="178">
        <v>163.98</v>
      </c>
      <c r="H1376" s="178">
        <v>344339.65</v>
      </c>
      <c r="I1376" s="178">
        <v>344339.65</v>
      </c>
      <c r="J1376" s="178" t="s">
        <v>497</v>
      </c>
    </row>
    <row r="1377" spans="1:10">
      <c r="A1377" s="178">
        <v>260</v>
      </c>
      <c r="B1377" s="178" t="s">
        <v>585</v>
      </c>
      <c r="C1377" s="178">
        <v>0</v>
      </c>
      <c r="D1377" s="178">
        <v>0</v>
      </c>
      <c r="E1377" s="178">
        <v>0</v>
      </c>
      <c r="F1377" s="178">
        <v>0</v>
      </c>
      <c r="G1377" s="178">
        <v>0</v>
      </c>
      <c r="H1377" s="178">
        <v>0</v>
      </c>
      <c r="I1377" s="178">
        <v>0</v>
      </c>
      <c r="J1377" s="178" t="s">
        <v>497</v>
      </c>
    </row>
    <row r="1378" spans="1:10">
      <c r="A1378" s="178">
        <v>270</v>
      </c>
      <c r="B1378" s="178" t="s">
        <v>586</v>
      </c>
      <c r="C1378" s="178">
        <v>71465</v>
      </c>
      <c r="D1378" s="178">
        <v>0</v>
      </c>
      <c r="E1378" s="178">
        <v>71465</v>
      </c>
      <c r="F1378" s="178">
        <v>0</v>
      </c>
      <c r="G1378" s="178">
        <v>0</v>
      </c>
      <c r="H1378" s="178">
        <v>71465</v>
      </c>
      <c r="I1378" s="178">
        <v>71465</v>
      </c>
      <c r="J1378" s="178" t="s">
        <v>497</v>
      </c>
    </row>
    <row r="1379" spans="1:10">
      <c r="A1379" s="178">
        <v>280</v>
      </c>
      <c r="B1379" s="178" t="s">
        <v>587</v>
      </c>
      <c r="C1379" s="178">
        <v>71465</v>
      </c>
      <c r="D1379" s="178">
        <v>0</v>
      </c>
      <c r="E1379" s="178">
        <v>71465</v>
      </c>
      <c r="F1379" s="178">
        <v>0</v>
      </c>
      <c r="G1379" s="178">
        <v>0</v>
      </c>
      <c r="H1379" s="178">
        <v>71465</v>
      </c>
      <c r="I1379" s="178">
        <v>71465</v>
      </c>
      <c r="J1379" s="178" t="s">
        <v>497</v>
      </c>
    </row>
    <row r="1380" spans="1:10">
      <c r="A1380" s="178">
        <v>400</v>
      </c>
      <c r="B1380" s="178" t="s">
        <v>588</v>
      </c>
      <c r="C1380" s="178">
        <v>697953.96</v>
      </c>
      <c r="D1380" s="178">
        <v>846325</v>
      </c>
      <c r="E1380" s="178">
        <v>-148371.04</v>
      </c>
      <c r="F1380" s="178">
        <v>-148522.03</v>
      </c>
      <c r="G1380" s="178">
        <v>-148522.03</v>
      </c>
      <c r="H1380" s="178">
        <v>846475.99</v>
      </c>
      <c r="I1380" s="178">
        <v>846475.99</v>
      </c>
      <c r="J1380" s="178" t="s">
        <v>497</v>
      </c>
    </row>
    <row r="1381" spans="1:10">
      <c r="A1381" s="178">
        <v>410</v>
      </c>
      <c r="B1381" s="178" t="s">
        <v>589</v>
      </c>
      <c r="C1381" s="178">
        <v>0</v>
      </c>
      <c r="D1381" s="178">
        <v>0</v>
      </c>
      <c r="E1381" s="178">
        <v>0</v>
      </c>
      <c r="F1381" s="178">
        <v>0</v>
      </c>
      <c r="G1381" s="178">
        <v>0</v>
      </c>
      <c r="H1381" s="178">
        <v>0</v>
      </c>
      <c r="I1381" s="178">
        <v>0</v>
      </c>
      <c r="J1381" s="178" t="s">
        <v>497</v>
      </c>
    </row>
    <row r="1382" spans="1:10">
      <c r="A1382" s="178">
        <v>420</v>
      </c>
      <c r="B1382" s="178" t="s">
        <v>590</v>
      </c>
      <c r="C1382" s="178">
        <v>11258.88</v>
      </c>
      <c r="D1382" s="178">
        <v>13457</v>
      </c>
      <c r="E1382" s="178">
        <v>-2198.12</v>
      </c>
      <c r="F1382" s="178">
        <v>5534.75</v>
      </c>
      <c r="G1382" s="178">
        <v>5534.75</v>
      </c>
      <c r="H1382" s="178">
        <v>5724.13</v>
      </c>
      <c r="I1382" s="178">
        <v>5724.13</v>
      </c>
      <c r="J1382" s="178" t="s">
        <v>497</v>
      </c>
    </row>
    <row r="1383" spans="1:10">
      <c r="A1383" s="178">
        <v>430</v>
      </c>
      <c r="B1383" s="178" t="s">
        <v>591</v>
      </c>
      <c r="C1383" s="178">
        <v>51328.57</v>
      </c>
      <c r="D1383" s="178">
        <v>52942</v>
      </c>
      <c r="E1383" s="178">
        <v>-1613.43</v>
      </c>
      <c r="F1383" s="178">
        <v>9276.64</v>
      </c>
      <c r="G1383" s="178">
        <v>9276.64</v>
      </c>
      <c r="H1383" s="178">
        <v>42051.93</v>
      </c>
      <c r="I1383" s="178">
        <v>42051.93</v>
      </c>
      <c r="J1383" s="178" t="s">
        <v>497</v>
      </c>
    </row>
    <row r="1384" spans="1:10">
      <c r="A1384" s="178">
        <v>440</v>
      </c>
      <c r="B1384" s="178" t="s">
        <v>592</v>
      </c>
      <c r="C1384" s="178">
        <v>0</v>
      </c>
      <c r="D1384" s="178">
        <v>6914</v>
      </c>
      <c r="E1384" s="178">
        <v>-6914</v>
      </c>
      <c r="F1384" s="178">
        <v>0</v>
      </c>
      <c r="G1384" s="178">
        <v>0</v>
      </c>
      <c r="H1384" s="178">
        <v>0</v>
      </c>
      <c r="I1384" s="178">
        <v>0</v>
      </c>
      <c r="J1384" s="178" t="s">
        <v>497</v>
      </c>
    </row>
    <row r="1385" spans="1:10">
      <c r="A1385" s="178">
        <v>450</v>
      </c>
      <c r="B1385" s="178" t="s">
        <v>593</v>
      </c>
      <c r="C1385" s="178">
        <v>12073.18</v>
      </c>
      <c r="D1385" s="178">
        <v>0</v>
      </c>
      <c r="E1385" s="178">
        <v>12073.18</v>
      </c>
      <c r="F1385" s="178">
        <v>-2035.2</v>
      </c>
      <c r="G1385" s="178">
        <v>-2035.2</v>
      </c>
      <c r="H1385" s="178">
        <v>14108.38</v>
      </c>
      <c r="I1385" s="178">
        <v>14108.38</v>
      </c>
      <c r="J1385" s="178" t="s">
        <v>497</v>
      </c>
    </row>
    <row r="1386" spans="1:10">
      <c r="A1386" s="178">
        <v>460</v>
      </c>
      <c r="B1386" s="178" t="s">
        <v>594</v>
      </c>
      <c r="C1386" s="178">
        <v>0</v>
      </c>
      <c r="D1386" s="178">
        <v>0</v>
      </c>
      <c r="E1386" s="178">
        <v>0</v>
      </c>
      <c r="F1386" s="178">
        <v>0</v>
      </c>
      <c r="G1386" s="178">
        <v>0</v>
      </c>
      <c r="H1386" s="178">
        <v>0</v>
      </c>
      <c r="I1386" s="178">
        <v>0</v>
      </c>
      <c r="J1386" s="178" t="s">
        <v>497</v>
      </c>
    </row>
    <row r="1387" spans="1:10">
      <c r="A1387" s="178">
        <v>500</v>
      </c>
      <c r="B1387" s="178" t="s">
        <v>595</v>
      </c>
      <c r="C1387" s="178">
        <v>74660.63</v>
      </c>
      <c r="D1387" s="178">
        <v>73313</v>
      </c>
      <c r="E1387" s="178">
        <v>1347.63</v>
      </c>
      <c r="F1387" s="178">
        <v>12776.19</v>
      </c>
      <c r="G1387" s="178">
        <v>12776.19</v>
      </c>
      <c r="H1387" s="178">
        <v>61884.44</v>
      </c>
      <c r="I1387" s="178">
        <v>61884.44</v>
      </c>
      <c r="J1387" s="178" t="s">
        <v>497</v>
      </c>
    </row>
    <row r="1388" spans="1:10">
      <c r="A1388" s="178">
        <v>510</v>
      </c>
      <c r="B1388" s="178" t="s">
        <v>596</v>
      </c>
      <c r="C1388" s="178">
        <v>0</v>
      </c>
      <c r="D1388" s="178">
        <v>0</v>
      </c>
      <c r="E1388" s="178">
        <v>0</v>
      </c>
      <c r="F1388" s="178">
        <v>0</v>
      </c>
      <c r="G1388" s="178">
        <v>0</v>
      </c>
      <c r="H1388" s="178">
        <v>0</v>
      </c>
      <c r="I1388" s="178">
        <v>0</v>
      </c>
      <c r="J1388" s="178" t="s">
        <v>497</v>
      </c>
    </row>
    <row r="1389" spans="1:10">
      <c r="A1389" s="178">
        <v>520</v>
      </c>
      <c r="B1389" s="178" t="s">
        <v>597</v>
      </c>
      <c r="C1389" s="178">
        <v>1636315.46</v>
      </c>
      <c r="D1389" s="178">
        <v>0</v>
      </c>
      <c r="E1389" s="178">
        <v>1636315.46</v>
      </c>
      <c r="F1389" s="178">
        <v>-194595.45</v>
      </c>
      <c r="G1389" s="178">
        <v>-194595.45</v>
      </c>
      <c r="H1389" s="178">
        <v>1830910.91</v>
      </c>
      <c r="I1389" s="178">
        <v>1830910.91</v>
      </c>
      <c r="J1389" s="178" t="s">
        <v>497</v>
      </c>
    </row>
    <row r="1390" spans="1:10">
      <c r="A1390" s="178">
        <v>530</v>
      </c>
      <c r="B1390" s="178" t="s">
        <v>598</v>
      </c>
      <c r="C1390" s="178">
        <v>0</v>
      </c>
      <c r="D1390" s="178">
        <v>2044327</v>
      </c>
      <c r="E1390" s="178">
        <v>-2044327</v>
      </c>
      <c r="F1390" s="178">
        <v>0</v>
      </c>
      <c r="G1390" s="178">
        <v>0</v>
      </c>
      <c r="H1390" s="178">
        <v>0</v>
      </c>
      <c r="I1390" s="178">
        <v>0</v>
      </c>
      <c r="J1390" s="178" t="s">
        <v>497</v>
      </c>
    </row>
    <row r="1391" spans="1:10">
      <c r="A1391" s="178">
        <v>540</v>
      </c>
      <c r="B1391" s="178" t="s">
        <v>599</v>
      </c>
      <c r="C1391" s="178">
        <v>213700</v>
      </c>
      <c r="D1391" s="178">
        <v>0</v>
      </c>
      <c r="E1391" s="178">
        <v>213700</v>
      </c>
      <c r="F1391" s="178">
        <v>0</v>
      </c>
      <c r="G1391" s="178">
        <v>0</v>
      </c>
      <c r="H1391" s="178">
        <v>213700</v>
      </c>
      <c r="I1391" s="178">
        <v>213700</v>
      </c>
      <c r="J1391" s="178" t="s">
        <v>497</v>
      </c>
    </row>
    <row r="1392" spans="1:10">
      <c r="A1392" s="178">
        <v>600</v>
      </c>
      <c r="B1392" s="178" t="s">
        <v>600</v>
      </c>
      <c r="C1392" s="178">
        <v>1850015.46</v>
      </c>
      <c r="D1392" s="178">
        <v>2044327</v>
      </c>
      <c r="E1392" s="178">
        <v>-194311.54</v>
      </c>
      <c r="F1392" s="178">
        <v>-194595.45</v>
      </c>
      <c r="G1392" s="178">
        <v>-194595.45</v>
      </c>
      <c r="H1392" s="178">
        <v>2044610.91</v>
      </c>
      <c r="I1392" s="178">
        <v>2044610.91</v>
      </c>
      <c r="J1392" s="178" t="s">
        <v>497</v>
      </c>
    </row>
    <row r="1393" spans="1:10">
      <c r="A1393" s="178">
        <v>610</v>
      </c>
      <c r="B1393" s="178" t="s">
        <v>601</v>
      </c>
      <c r="C1393" s="178">
        <v>0</v>
      </c>
      <c r="D1393" s="178">
        <v>0</v>
      </c>
      <c r="E1393" s="178">
        <v>0</v>
      </c>
      <c r="F1393" s="178">
        <v>0</v>
      </c>
      <c r="G1393" s="178">
        <v>0</v>
      </c>
      <c r="H1393" s="178">
        <v>0</v>
      </c>
      <c r="I1393" s="178">
        <v>0</v>
      </c>
      <c r="J1393" s="178" t="s">
        <v>497</v>
      </c>
    </row>
    <row r="1394" spans="1:10">
      <c r="A1394" s="178">
        <v>620</v>
      </c>
      <c r="B1394" s="178"/>
      <c r="C1394" s="178">
        <v>0</v>
      </c>
      <c r="D1394" s="178">
        <v>0</v>
      </c>
      <c r="E1394" s="178">
        <v>0</v>
      </c>
      <c r="F1394" s="178">
        <v>0</v>
      </c>
      <c r="G1394" s="178">
        <v>0</v>
      </c>
      <c r="H1394" s="178">
        <v>0</v>
      </c>
      <c r="I1394" s="178">
        <v>0</v>
      </c>
      <c r="J1394" s="178" t="s">
        <v>497</v>
      </c>
    </row>
    <row r="1395" spans="1:10">
      <c r="A1395" s="178">
        <v>700</v>
      </c>
      <c r="B1395" s="178" t="s">
        <v>602</v>
      </c>
      <c r="C1395" s="178">
        <v>0</v>
      </c>
      <c r="D1395" s="178">
        <v>0</v>
      </c>
      <c r="E1395" s="178">
        <v>0</v>
      </c>
      <c r="F1395" s="178">
        <v>0</v>
      </c>
      <c r="G1395" s="178">
        <v>0</v>
      </c>
      <c r="H1395" s="178">
        <v>0</v>
      </c>
      <c r="I1395" s="178">
        <v>0</v>
      </c>
      <c r="J1395" s="178" t="s">
        <v>497</v>
      </c>
    </row>
    <row r="1396" spans="1:10">
      <c r="A1396" s="178">
        <v>710</v>
      </c>
      <c r="B1396" s="178" t="s">
        <v>558</v>
      </c>
      <c r="C1396" s="178">
        <v>0</v>
      </c>
      <c r="D1396" s="178">
        <v>0</v>
      </c>
      <c r="E1396" s="178">
        <v>0</v>
      </c>
      <c r="F1396" s="178">
        <v>0</v>
      </c>
      <c r="G1396" s="178">
        <v>0</v>
      </c>
      <c r="H1396" s="178">
        <v>0</v>
      </c>
      <c r="I1396" s="178">
        <v>0</v>
      </c>
      <c r="J1396" s="178" t="s">
        <v>497</v>
      </c>
    </row>
    <row r="1397" spans="1:10">
      <c r="A1397" s="178">
        <v>720</v>
      </c>
      <c r="B1397" s="178" t="s">
        <v>603</v>
      </c>
      <c r="C1397" s="178">
        <v>1000</v>
      </c>
      <c r="D1397" s="178">
        <v>1000</v>
      </c>
      <c r="E1397" s="178">
        <v>0</v>
      </c>
      <c r="F1397" s="178">
        <v>0</v>
      </c>
      <c r="G1397" s="178">
        <v>0</v>
      </c>
      <c r="H1397" s="178">
        <v>1000</v>
      </c>
      <c r="I1397" s="178">
        <v>1000</v>
      </c>
      <c r="J1397" s="178" t="s">
        <v>497</v>
      </c>
    </row>
    <row r="1398" spans="1:10">
      <c r="A1398" s="178">
        <v>730</v>
      </c>
      <c r="B1398" s="178" t="s">
        <v>604</v>
      </c>
      <c r="C1398" s="178">
        <v>0</v>
      </c>
      <c r="D1398" s="178">
        <v>0</v>
      </c>
      <c r="E1398" s="178">
        <v>0</v>
      </c>
      <c r="F1398" s="178">
        <v>0</v>
      </c>
      <c r="G1398" s="178">
        <v>0</v>
      </c>
      <c r="H1398" s="178">
        <v>0</v>
      </c>
      <c r="I1398" s="178">
        <v>0</v>
      </c>
      <c r="J1398" s="178" t="s">
        <v>497</v>
      </c>
    </row>
    <row r="1399" spans="1:10">
      <c r="A1399" s="178">
        <v>740</v>
      </c>
      <c r="B1399" s="178" t="s">
        <v>605</v>
      </c>
      <c r="C1399" s="178">
        <v>-1660519.36</v>
      </c>
      <c r="D1399" s="178">
        <v>-1666907</v>
      </c>
      <c r="E1399" s="178">
        <v>6387.64</v>
      </c>
      <c r="F1399" s="178">
        <v>0</v>
      </c>
      <c r="G1399" s="178">
        <v>0</v>
      </c>
      <c r="H1399" s="178">
        <v>-1712974.97</v>
      </c>
      <c r="I1399" s="178">
        <v>-1660519.36</v>
      </c>
      <c r="J1399" s="178" t="s">
        <v>497</v>
      </c>
    </row>
    <row r="1400" spans="1:10">
      <c r="A1400" s="178">
        <v>750</v>
      </c>
      <c r="B1400" s="178" t="s">
        <v>474</v>
      </c>
      <c r="C1400" s="178">
        <v>33297.23</v>
      </c>
      <c r="D1400" s="178">
        <v>-5314</v>
      </c>
      <c r="E1400" s="178">
        <v>38611.23</v>
      </c>
      <c r="F1400" s="178">
        <v>33297.23</v>
      </c>
      <c r="G1400" s="178">
        <v>33297.23</v>
      </c>
      <c r="H1400" s="178">
        <v>52455.61</v>
      </c>
      <c r="I1400" s="178">
        <v>0</v>
      </c>
      <c r="J1400" s="178" t="s">
        <v>497</v>
      </c>
    </row>
    <row r="1401" spans="1:10">
      <c r="A1401" s="178">
        <v>760</v>
      </c>
      <c r="B1401" s="178" t="s">
        <v>606</v>
      </c>
      <c r="C1401" s="178">
        <v>399500</v>
      </c>
      <c r="D1401" s="178">
        <v>0</v>
      </c>
      <c r="E1401" s="178">
        <v>399500</v>
      </c>
      <c r="F1401" s="178">
        <v>0</v>
      </c>
      <c r="G1401" s="178">
        <v>0</v>
      </c>
      <c r="H1401" s="178">
        <v>399500</v>
      </c>
      <c r="I1401" s="178">
        <v>399500</v>
      </c>
      <c r="J1401" s="178" t="s">
        <v>497</v>
      </c>
    </row>
    <row r="1402" spans="1:10">
      <c r="A1402" s="178">
        <v>770</v>
      </c>
      <c r="B1402" s="178"/>
      <c r="C1402" s="178">
        <v>0</v>
      </c>
      <c r="D1402" s="178">
        <v>0</v>
      </c>
      <c r="E1402" s="178">
        <v>0</v>
      </c>
      <c r="F1402" s="178">
        <v>0</v>
      </c>
      <c r="G1402" s="178">
        <v>0</v>
      </c>
      <c r="H1402" s="178">
        <v>0</v>
      </c>
      <c r="I1402" s="178">
        <v>0</v>
      </c>
      <c r="J1402" s="178" t="s">
        <v>497</v>
      </c>
    </row>
    <row r="1403" spans="1:10">
      <c r="A1403" s="178">
        <v>800</v>
      </c>
      <c r="B1403" s="178" t="s">
        <v>607</v>
      </c>
      <c r="C1403" s="178">
        <v>-1226722.13</v>
      </c>
      <c r="D1403" s="178">
        <v>-1671221</v>
      </c>
      <c r="E1403" s="178">
        <v>444498.87</v>
      </c>
      <c r="F1403" s="178">
        <v>33297.23</v>
      </c>
      <c r="G1403" s="178">
        <v>33297.23</v>
      </c>
      <c r="H1403" s="178">
        <v>-1260019.36</v>
      </c>
      <c r="I1403" s="178">
        <v>-1260019.36</v>
      </c>
      <c r="J1403" s="178" t="s">
        <v>497</v>
      </c>
    </row>
    <row r="1404" spans="1:10">
      <c r="A1404" s="178">
        <v>900</v>
      </c>
      <c r="B1404" s="178" t="s">
        <v>608</v>
      </c>
      <c r="C1404" s="178">
        <v>697953.96</v>
      </c>
      <c r="D1404" s="178">
        <v>446419</v>
      </c>
      <c r="E1404" s="178">
        <v>251534.96</v>
      </c>
      <c r="F1404" s="178">
        <v>-148522.03</v>
      </c>
      <c r="G1404" s="178">
        <v>-148522.03</v>
      </c>
      <c r="H1404" s="178">
        <v>846475.99</v>
      </c>
      <c r="I1404" s="178">
        <v>846475.99</v>
      </c>
      <c r="J1404" s="178" t="s">
        <v>497</v>
      </c>
    </row>
    <row r="1405" spans="1:10">
      <c r="A1405" s="178">
        <v>1000</v>
      </c>
      <c r="B1405" s="178" t="s">
        <v>559</v>
      </c>
      <c r="C1405" s="178">
        <v>0</v>
      </c>
      <c r="D1405" s="178">
        <v>399906</v>
      </c>
      <c r="E1405" s="178">
        <v>-399906</v>
      </c>
      <c r="F1405" s="178">
        <v>0</v>
      </c>
      <c r="G1405" s="178">
        <v>0</v>
      </c>
      <c r="H1405" s="178">
        <v>0</v>
      </c>
      <c r="I1405" s="178">
        <v>0</v>
      </c>
      <c r="J1405" s="178" t="s">
        <v>497</v>
      </c>
    </row>
    <row r="1406" spans="1:10">
      <c r="A1406" s="178" t="s">
        <v>484</v>
      </c>
      <c r="B1406" s="178" t="s">
        <v>402</v>
      </c>
      <c r="C1406" s="178" t="s">
        <v>538</v>
      </c>
      <c r="D1406" s="178" t="s">
        <v>539</v>
      </c>
      <c r="E1406" s="178" t="s">
        <v>540</v>
      </c>
      <c r="F1406" s="178" t="s">
        <v>541</v>
      </c>
      <c r="G1406" s="178" t="s">
        <v>542</v>
      </c>
      <c r="H1406" s="178" t="s">
        <v>543</v>
      </c>
      <c r="I1406" s="178" t="s">
        <v>544</v>
      </c>
      <c r="J1406" s="178" t="s">
        <v>405</v>
      </c>
    </row>
    <row r="1407" spans="1:10">
      <c r="A1407" s="178">
        <v>10</v>
      </c>
      <c r="B1407" s="178" t="s">
        <v>545</v>
      </c>
      <c r="C1407" s="178">
        <v>0</v>
      </c>
      <c r="D1407" s="178">
        <v>0</v>
      </c>
      <c r="E1407" s="178">
        <v>0</v>
      </c>
      <c r="F1407" s="178">
        <v>0</v>
      </c>
      <c r="G1407" s="178">
        <v>0</v>
      </c>
      <c r="H1407" s="178">
        <v>0</v>
      </c>
      <c r="I1407" s="178">
        <v>0</v>
      </c>
      <c r="J1407" s="178" t="s">
        <v>497</v>
      </c>
    </row>
    <row r="1408" spans="1:10">
      <c r="A1408" s="178">
        <v>20</v>
      </c>
      <c r="B1408" s="178" t="s">
        <v>563</v>
      </c>
      <c r="C1408" s="178">
        <v>52307.2</v>
      </c>
      <c r="D1408" s="178">
        <v>0</v>
      </c>
      <c r="E1408" s="178">
        <v>52307.2</v>
      </c>
      <c r="F1408" s="178">
        <v>-365904.98</v>
      </c>
      <c r="G1408" s="178">
        <v>-365904.98</v>
      </c>
      <c r="H1408" s="178">
        <v>418212.18</v>
      </c>
      <c r="I1408" s="178">
        <v>418212.18</v>
      </c>
      <c r="J1408" s="178" t="s">
        <v>497</v>
      </c>
    </row>
    <row r="1409" spans="1:10">
      <c r="A1409" s="178">
        <v>30</v>
      </c>
      <c r="B1409" s="178" t="s">
        <v>564</v>
      </c>
      <c r="C1409" s="178">
        <v>0</v>
      </c>
      <c r="D1409" s="178">
        <v>0</v>
      </c>
      <c r="E1409" s="178">
        <v>0</v>
      </c>
      <c r="F1409" s="178">
        <v>0</v>
      </c>
      <c r="G1409" s="178">
        <v>0</v>
      </c>
      <c r="H1409" s="178">
        <v>0</v>
      </c>
      <c r="I1409" s="178">
        <v>0</v>
      </c>
      <c r="J1409" s="178" t="s">
        <v>497</v>
      </c>
    </row>
    <row r="1410" spans="1:10">
      <c r="A1410" s="178">
        <v>40</v>
      </c>
      <c r="B1410" s="178" t="s">
        <v>565</v>
      </c>
      <c r="C1410" s="178">
        <v>0</v>
      </c>
      <c r="D1410" s="178">
        <v>0</v>
      </c>
      <c r="E1410" s="178">
        <v>0</v>
      </c>
      <c r="F1410" s="178">
        <v>0</v>
      </c>
      <c r="G1410" s="178">
        <v>0</v>
      </c>
      <c r="H1410" s="178">
        <v>0</v>
      </c>
      <c r="I1410" s="178">
        <v>0</v>
      </c>
      <c r="J1410" s="178" t="s">
        <v>497</v>
      </c>
    </row>
    <row r="1411" spans="1:10">
      <c r="A1411" s="178">
        <v>50</v>
      </c>
      <c r="B1411" s="178" t="s">
        <v>566</v>
      </c>
      <c r="C1411" s="178">
        <v>4342478.19</v>
      </c>
      <c r="D1411" s="178">
        <v>0</v>
      </c>
      <c r="E1411" s="178">
        <v>4342478.19</v>
      </c>
      <c r="F1411" s="178">
        <v>55000</v>
      </c>
      <c r="G1411" s="178">
        <v>55000</v>
      </c>
      <c r="H1411" s="178">
        <v>4287478.19</v>
      </c>
      <c r="I1411" s="178">
        <v>4287478.19</v>
      </c>
      <c r="J1411" s="178" t="s">
        <v>497</v>
      </c>
    </row>
    <row r="1412" spans="1:10">
      <c r="A1412" s="178">
        <v>60</v>
      </c>
      <c r="B1412" s="178" t="s">
        <v>268</v>
      </c>
      <c r="C1412" s="178">
        <v>0</v>
      </c>
      <c r="D1412" s="178">
        <v>0</v>
      </c>
      <c r="E1412" s="178">
        <v>0</v>
      </c>
      <c r="F1412" s="178">
        <v>0</v>
      </c>
      <c r="G1412" s="178">
        <v>0</v>
      </c>
      <c r="H1412" s="178">
        <v>0</v>
      </c>
      <c r="I1412" s="178">
        <v>0</v>
      </c>
      <c r="J1412" s="178" t="s">
        <v>497</v>
      </c>
    </row>
    <row r="1413" spans="1:10">
      <c r="A1413" s="178">
        <v>70</v>
      </c>
      <c r="B1413" s="178" t="s">
        <v>567</v>
      </c>
      <c r="C1413" s="178">
        <v>14055.57</v>
      </c>
      <c r="D1413" s="178">
        <v>0</v>
      </c>
      <c r="E1413" s="178">
        <v>14055.57</v>
      </c>
      <c r="F1413" s="178">
        <v>-611.11</v>
      </c>
      <c r="G1413" s="178">
        <v>-611.11</v>
      </c>
      <c r="H1413" s="178">
        <v>14666.68</v>
      </c>
      <c r="I1413" s="178">
        <v>14666.68</v>
      </c>
      <c r="J1413" s="178" t="s">
        <v>497</v>
      </c>
    </row>
    <row r="1414" spans="1:10">
      <c r="A1414" s="178">
        <v>80</v>
      </c>
      <c r="B1414" s="178" t="s">
        <v>568</v>
      </c>
      <c r="C1414" s="178">
        <v>0</v>
      </c>
      <c r="D1414" s="178">
        <v>0</v>
      </c>
      <c r="E1414" s="178">
        <v>0</v>
      </c>
      <c r="F1414" s="178">
        <v>0</v>
      </c>
      <c r="G1414" s="178">
        <v>0</v>
      </c>
      <c r="H1414" s="178">
        <v>0</v>
      </c>
      <c r="I1414" s="178">
        <v>0</v>
      </c>
      <c r="J1414" s="178" t="s">
        <v>497</v>
      </c>
    </row>
    <row r="1415" spans="1:10">
      <c r="A1415" s="178">
        <v>100</v>
      </c>
      <c r="B1415" s="178" t="s">
        <v>569</v>
      </c>
      <c r="C1415" s="178">
        <v>4408840.96</v>
      </c>
      <c r="D1415" s="178">
        <v>0</v>
      </c>
      <c r="E1415" s="178">
        <v>4408840.96</v>
      </c>
      <c r="F1415" s="178">
        <v>-311516.09</v>
      </c>
      <c r="G1415" s="178">
        <v>-311516.09</v>
      </c>
      <c r="H1415" s="178">
        <v>4720357.05</v>
      </c>
      <c r="I1415" s="178">
        <v>4720357.05</v>
      </c>
      <c r="J1415" s="178" t="s">
        <v>497</v>
      </c>
    </row>
    <row r="1416" spans="1:10">
      <c r="A1416" s="178">
        <v>110</v>
      </c>
      <c r="B1416" s="178" t="s">
        <v>570</v>
      </c>
      <c r="C1416" s="178">
        <v>0</v>
      </c>
      <c r="D1416" s="178">
        <v>0</v>
      </c>
      <c r="E1416" s="178">
        <v>0</v>
      </c>
      <c r="F1416" s="178">
        <v>0</v>
      </c>
      <c r="G1416" s="178">
        <v>0</v>
      </c>
      <c r="H1416" s="178">
        <v>0</v>
      </c>
      <c r="I1416" s="178">
        <v>0</v>
      </c>
      <c r="J1416" s="178" t="s">
        <v>497</v>
      </c>
    </row>
    <row r="1417" spans="1:10">
      <c r="A1417" s="178">
        <v>120</v>
      </c>
      <c r="B1417" s="178" t="s">
        <v>571</v>
      </c>
      <c r="C1417" s="178">
        <v>1517486</v>
      </c>
      <c r="D1417" s="178">
        <v>0</v>
      </c>
      <c r="E1417" s="178">
        <v>1517486</v>
      </c>
      <c r="F1417" s="178">
        <v>0</v>
      </c>
      <c r="G1417" s="178">
        <v>0</v>
      </c>
      <c r="H1417" s="178">
        <v>1517486</v>
      </c>
      <c r="I1417" s="178">
        <v>1517486</v>
      </c>
      <c r="J1417" s="178" t="s">
        <v>497</v>
      </c>
    </row>
    <row r="1418" spans="1:10">
      <c r="A1418" s="178">
        <v>130</v>
      </c>
      <c r="B1418" s="178" t="s">
        <v>572</v>
      </c>
      <c r="C1418" s="178">
        <v>2363637.82</v>
      </c>
      <c r="D1418" s="178">
        <v>0</v>
      </c>
      <c r="E1418" s="178">
        <v>2363637.82</v>
      </c>
      <c r="F1418" s="178">
        <v>0</v>
      </c>
      <c r="G1418" s="178">
        <v>0</v>
      </c>
      <c r="H1418" s="178">
        <v>2363637.82</v>
      </c>
      <c r="I1418" s="178">
        <v>2363637.82</v>
      </c>
      <c r="J1418" s="178" t="s">
        <v>497</v>
      </c>
    </row>
    <row r="1419" spans="1:10">
      <c r="A1419" s="178">
        <v>140</v>
      </c>
      <c r="B1419" s="178" t="s">
        <v>573</v>
      </c>
      <c r="C1419" s="178">
        <v>0</v>
      </c>
      <c r="D1419" s="178">
        <v>0</v>
      </c>
      <c r="E1419" s="178">
        <v>0</v>
      </c>
      <c r="F1419" s="178">
        <v>0</v>
      </c>
      <c r="G1419" s="178">
        <v>0</v>
      </c>
      <c r="H1419" s="178">
        <v>0</v>
      </c>
      <c r="I1419" s="178">
        <v>0</v>
      </c>
      <c r="J1419" s="178" t="s">
        <v>497</v>
      </c>
    </row>
    <row r="1420" spans="1:10">
      <c r="A1420" s="178">
        <v>150</v>
      </c>
      <c r="B1420" s="178" t="s">
        <v>574</v>
      </c>
      <c r="C1420" s="178">
        <v>0</v>
      </c>
      <c r="D1420" s="178">
        <v>0</v>
      </c>
      <c r="E1420" s="178">
        <v>0</v>
      </c>
      <c r="F1420" s="178">
        <v>0</v>
      </c>
      <c r="G1420" s="178">
        <v>0</v>
      </c>
      <c r="H1420" s="178">
        <v>0</v>
      </c>
      <c r="I1420" s="178">
        <v>0</v>
      </c>
      <c r="J1420" s="178" t="s">
        <v>497</v>
      </c>
    </row>
    <row r="1421" spans="1:10">
      <c r="A1421" s="178">
        <v>160</v>
      </c>
      <c r="B1421" s="178" t="s">
        <v>575</v>
      </c>
      <c r="C1421" s="178">
        <v>0</v>
      </c>
      <c r="D1421" s="178">
        <v>0</v>
      </c>
      <c r="E1421" s="178">
        <v>0</v>
      </c>
      <c r="F1421" s="178">
        <v>0</v>
      </c>
      <c r="G1421" s="178">
        <v>0</v>
      </c>
      <c r="H1421" s="178">
        <v>0</v>
      </c>
      <c r="I1421" s="178">
        <v>0</v>
      </c>
      <c r="J1421" s="178" t="s">
        <v>497</v>
      </c>
    </row>
    <row r="1422" spans="1:10">
      <c r="A1422" s="178">
        <v>170</v>
      </c>
      <c r="B1422" s="178" t="s">
        <v>576</v>
      </c>
      <c r="C1422" s="178">
        <v>0</v>
      </c>
      <c r="D1422" s="178">
        <v>0</v>
      </c>
      <c r="E1422" s="178">
        <v>0</v>
      </c>
      <c r="F1422" s="178">
        <v>0</v>
      </c>
      <c r="G1422" s="178">
        <v>0</v>
      </c>
      <c r="H1422" s="178">
        <v>0</v>
      </c>
      <c r="I1422" s="178">
        <v>0</v>
      </c>
      <c r="J1422" s="178" t="s">
        <v>497</v>
      </c>
    </row>
    <row r="1423" spans="1:10">
      <c r="A1423" s="178">
        <v>180</v>
      </c>
      <c r="B1423" s="178" t="s">
        <v>577</v>
      </c>
      <c r="C1423" s="178">
        <v>6523.8</v>
      </c>
      <c r="D1423" s="178">
        <v>0</v>
      </c>
      <c r="E1423" s="178">
        <v>6523.8</v>
      </c>
      <c r="F1423" s="178">
        <v>0</v>
      </c>
      <c r="G1423" s="178">
        <v>0</v>
      </c>
      <c r="H1423" s="178">
        <v>6523.8</v>
      </c>
      <c r="I1423" s="178">
        <v>6523.8</v>
      </c>
      <c r="J1423" s="178" t="s">
        <v>497</v>
      </c>
    </row>
    <row r="1424" spans="1:10">
      <c r="A1424" s="178">
        <v>190</v>
      </c>
      <c r="B1424" s="178" t="s">
        <v>578</v>
      </c>
      <c r="C1424" s="178">
        <v>-160889.21</v>
      </c>
      <c r="D1424" s="178">
        <v>0</v>
      </c>
      <c r="E1424" s="178">
        <v>-160889.21</v>
      </c>
      <c r="F1424" s="178">
        <v>-2513.17</v>
      </c>
      <c r="G1424" s="178">
        <v>-2513.17</v>
      </c>
      <c r="H1424" s="178">
        <v>-158376.04</v>
      </c>
      <c r="I1424" s="178">
        <v>-158376.04</v>
      </c>
      <c r="J1424" s="178" t="s">
        <v>497</v>
      </c>
    </row>
    <row r="1425" spans="1:10">
      <c r="A1425" s="178">
        <v>200</v>
      </c>
      <c r="B1425" s="178" t="s">
        <v>579</v>
      </c>
      <c r="C1425" s="178">
        <v>3726758.41</v>
      </c>
      <c r="D1425" s="178">
        <v>0</v>
      </c>
      <c r="E1425" s="178">
        <v>3726758.41</v>
      </c>
      <c r="F1425" s="178">
        <v>-2513.17</v>
      </c>
      <c r="G1425" s="178">
        <v>-2513.17</v>
      </c>
      <c r="H1425" s="178">
        <v>3729271.58</v>
      </c>
      <c r="I1425" s="178">
        <v>3729271.58</v>
      </c>
      <c r="J1425" s="178" t="s">
        <v>497</v>
      </c>
    </row>
    <row r="1426" spans="1:10">
      <c r="A1426" s="178">
        <v>210</v>
      </c>
      <c r="B1426" s="178" t="s">
        <v>580</v>
      </c>
      <c r="C1426" s="178">
        <v>0</v>
      </c>
      <c r="D1426" s="178">
        <v>0</v>
      </c>
      <c r="E1426" s="178">
        <v>0</v>
      </c>
      <c r="F1426" s="178">
        <v>0</v>
      </c>
      <c r="G1426" s="178">
        <v>0</v>
      </c>
      <c r="H1426" s="178">
        <v>0</v>
      </c>
      <c r="I1426" s="178">
        <v>0</v>
      </c>
      <c r="J1426" s="178" t="s">
        <v>497</v>
      </c>
    </row>
    <row r="1427" spans="1:10">
      <c r="A1427" s="178">
        <v>220</v>
      </c>
      <c r="B1427" s="178" t="s">
        <v>581</v>
      </c>
      <c r="C1427" s="178">
        <v>0</v>
      </c>
      <c r="D1427" s="178">
        <v>0</v>
      </c>
      <c r="E1427" s="178">
        <v>0</v>
      </c>
      <c r="F1427" s="178">
        <v>0</v>
      </c>
      <c r="G1427" s="178">
        <v>0</v>
      </c>
      <c r="H1427" s="178">
        <v>0</v>
      </c>
      <c r="I1427" s="178">
        <v>0</v>
      </c>
      <c r="J1427" s="178" t="s">
        <v>497</v>
      </c>
    </row>
    <row r="1428" spans="1:10">
      <c r="A1428" s="178">
        <v>230</v>
      </c>
      <c r="B1428" s="178" t="s">
        <v>582</v>
      </c>
      <c r="C1428" s="178">
        <v>-3786943</v>
      </c>
      <c r="D1428" s="178">
        <v>0</v>
      </c>
      <c r="E1428" s="178">
        <v>-3786943</v>
      </c>
      <c r="F1428" s="178">
        <v>0</v>
      </c>
      <c r="G1428" s="178">
        <v>0</v>
      </c>
      <c r="H1428" s="178">
        <v>-3786943</v>
      </c>
      <c r="I1428" s="178">
        <v>-3786943</v>
      </c>
      <c r="J1428" s="178" t="s">
        <v>497</v>
      </c>
    </row>
    <row r="1429" spans="1:10">
      <c r="A1429" s="178">
        <v>240</v>
      </c>
      <c r="B1429" s="178" t="s">
        <v>583</v>
      </c>
      <c r="C1429" s="178">
        <v>-6523.8</v>
      </c>
      <c r="D1429" s="178">
        <v>0</v>
      </c>
      <c r="E1429" s="178">
        <v>-6523.8</v>
      </c>
      <c r="F1429" s="178">
        <v>0</v>
      </c>
      <c r="G1429" s="178">
        <v>0</v>
      </c>
      <c r="H1429" s="178">
        <v>-6523.8</v>
      </c>
      <c r="I1429" s="178">
        <v>-6523.8</v>
      </c>
      <c r="J1429" s="178" t="s">
        <v>497</v>
      </c>
    </row>
    <row r="1430" spans="1:10">
      <c r="A1430" s="178">
        <v>250</v>
      </c>
      <c r="B1430" s="178" t="s">
        <v>584</v>
      </c>
      <c r="C1430" s="178">
        <v>-3793466.8</v>
      </c>
      <c r="D1430" s="178">
        <v>0</v>
      </c>
      <c r="E1430" s="178">
        <v>-3793466.8</v>
      </c>
      <c r="F1430" s="178">
        <v>0</v>
      </c>
      <c r="G1430" s="178">
        <v>0</v>
      </c>
      <c r="H1430" s="178">
        <v>-3793466.8</v>
      </c>
      <c r="I1430" s="178">
        <v>-3793466.8</v>
      </c>
      <c r="J1430" s="178" t="s">
        <v>497</v>
      </c>
    </row>
    <row r="1431" spans="1:10">
      <c r="A1431" s="178">
        <v>260</v>
      </c>
      <c r="B1431" s="178" t="s">
        <v>585</v>
      </c>
      <c r="C1431" s="178">
        <v>0</v>
      </c>
      <c r="D1431" s="178">
        <v>0</v>
      </c>
      <c r="E1431" s="178">
        <v>0</v>
      </c>
      <c r="F1431" s="178">
        <v>0</v>
      </c>
      <c r="G1431" s="178">
        <v>0</v>
      </c>
      <c r="H1431" s="178">
        <v>0</v>
      </c>
      <c r="I1431" s="178">
        <v>0</v>
      </c>
      <c r="J1431" s="178" t="s">
        <v>497</v>
      </c>
    </row>
    <row r="1432" spans="1:10">
      <c r="A1432" s="178">
        <v>270</v>
      </c>
      <c r="B1432" s="178" t="s">
        <v>586</v>
      </c>
      <c r="C1432" s="178">
        <v>480463</v>
      </c>
      <c r="D1432" s="178">
        <v>0</v>
      </c>
      <c r="E1432" s="178">
        <v>480463</v>
      </c>
      <c r="F1432" s="178">
        <v>325000</v>
      </c>
      <c r="G1432" s="178">
        <v>325000</v>
      </c>
      <c r="H1432" s="178">
        <v>155463</v>
      </c>
      <c r="I1432" s="178">
        <v>155463</v>
      </c>
      <c r="J1432" s="178" t="s">
        <v>497</v>
      </c>
    </row>
    <row r="1433" spans="1:10">
      <c r="A1433" s="178">
        <v>280</v>
      </c>
      <c r="B1433" s="178" t="s">
        <v>587</v>
      </c>
      <c r="C1433" s="178">
        <v>480463</v>
      </c>
      <c r="D1433" s="178">
        <v>0</v>
      </c>
      <c r="E1433" s="178">
        <v>480463</v>
      </c>
      <c r="F1433" s="178">
        <v>325000</v>
      </c>
      <c r="G1433" s="178">
        <v>325000</v>
      </c>
      <c r="H1433" s="178">
        <v>155463</v>
      </c>
      <c r="I1433" s="178">
        <v>155463</v>
      </c>
      <c r="J1433" s="178" t="s">
        <v>497</v>
      </c>
    </row>
    <row r="1434" spans="1:10">
      <c r="A1434" s="178">
        <v>400</v>
      </c>
      <c r="B1434" s="178" t="s">
        <v>588</v>
      </c>
      <c r="C1434" s="178">
        <v>4822595.57</v>
      </c>
      <c r="D1434" s="178">
        <v>0</v>
      </c>
      <c r="E1434" s="178">
        <v>4822595.57</v>
      </c>
      <c r="F1434" s="178">
        <v>10970.74</v>
      </c>
      <c r="G1434" s="178">
        <v>10970.74</v>
      </c>
      <c r="H1434" s="178">
        <v>4811624.83</v>
      </c>
      <c r="I1434" s="178">
        <v>4811624.83</v>
      </c>
      <c r="J1434" s="178" t="s">
        <v>497</v>
      </c>
    </row>
    <row r="1435" spans="1:10">
      <c r="A1435" s="178">
        <v>410</v>
      </c>
      <c r="B1435" s="178" t="s">
        <v>589</v>
      </c>
      <c r="C1435" s="178">
        <v>0</v>
      </c>
      <c r="D1435" s="178">
        <v>0</v>
      </c>
      <c r="E1435" s="178">
        <v>0</v>
      </c>
      <c r="F1435" s="178">
        <v>0</v>
      </c>
      <c r="G1435" s="178">
        <v>0</v>
      </c>
      <c r="H1435" s="178">
        <v>0</v>
      </c>
      <c r="I1435" s="178">
        <v>0</v>
      </c>
      <c r="J1435" s="178" t="s">
        <v>497</v>
      </c>
    </row>
    <row r="1436" spans="1:10">
      <c r="A1436" s="178">
        <v>420</v>
      </c>
      <c r="B1436" s="178" t="s">
        <v>590</v>
      </c>
      <c r="C1436" s="178">
        <v>386.53</v>
      </c>
      <c r="D1436" s="178">
        <v>0</v>
      </c>
      <c r="E1436" s="178">
        <v>386.53</v>
      </c>
      <c r="F1436" s="178">
        <v>0</v>
      </c>
      <c r="G1436" s="178">
        <v>0</v>
      </c>
      <c r="H1436" s="178">
        <v>386.53</v>
      </c>
      <c r="I1436" s="178">
        <v>386.53</v>
      </c>
      <c r="J1436" s="178" t="s">
        <v>497</v>
      </c>
    </row>
    <row r="1437" spans="1:10">
      <c r="A1437" s="178">
        <v>430</v>
      </c>
      <c r="B1437" s="178" t="s">
        <v>591</v>
      </c>
      <c r="C1437" s="178">
        <v>0</v>
      </c>
      <c r="D1437" s="178">
        <v>0</v>
      </c>
      <c r="E1437" s="178">
        <v>0</v>
      </c>
      <c r="F1437" s="178">
        <v>0</v>
      </c>
      <c r="G1437" s="178">
        <v>0</v>
      </c>
      <c r="H1437" s="178">
        <v>0</v>
      </c>
      <c r="I1437" s="178">
        <v>0</v>
      </c>
      <c r="J1437" s="178" t="s">
        <v>497</v>
      </c>
    </row>
    <row r="1438" spans="1:10">
      <c r="A1438" s="178">
        <v>440</v>
      </c>
      <c r="B1438" s="178" t="s">
        <v>592</v>
      </c>
      <c r="C1438" s="178">
        <v>0</v>
      </c>
      <c r="D1438" s="178">
        <v>0</v>
      </c>
      <c r="E1438" s="178">
        <v>0</v>
      </c>
      <c r="F1438" s="178">
        <v>0</v>
      </c>
      <c r="G1438" s="178">
        <v>0</v>
      </c>
      <c r="H1438" s="178">
        <v>0</v>
      </c>
      <c r="I1438" s="178">
        <v>0</v>
      </c>
      <c r="J1438" s="178" t="s">
        <v>497</v>
      </c>
    </row>
    <row r="1439" spans="1:10">
      <c r="A1439" s="178">
        <v>450</v>
      </c>
      <c r="B1439" s="178" t="s">
        <v>593</v>
      </c>
      <c r="C1439" s="178">
        <v>2246479.74</v>
      </c>
      <c r="D1439" s="178">
        <v>0</v>
      </c>
      <c r="E1439" s="178">
        <v>2246479.74</v>
      </c>
      <c r="F1439" s="178">
        <v>0</v>
      </c>
      <c r="G1439" s="178">
        <v>0</v>
      </c>
      <c r="H1439" s="178">
        <v>2246479.74</v>
      </c>
      <c r="I1439" s="178">
        <v>2246479.74</v>
      </c>
      <c r="J1439" s="178" t="s">
        <v>497</v>
      </c>
    </row>
    <row r="1440" spans="1:10">
      <c r="A1440" s="178">
        <v>460</v>
      </c>
      <c r="B1440" s="178" t="s">
        <v>594</v>
      </c>
      <c r="C1440" s="178">
        <v>0</v>
      </c>
      <c r="D1440" s="178">
        <v>0</v>
      </c>
      <c r="E1440" s="178">
        <v>0</v>
      </c>
      <c r="F1440" s="178">
        <v>0</v>
      </c>
      <c r="G1440" s="178">
        <v>0</v>
      </c>
      <c r="H1440" s="178">
        <v>0</v>
      </c>
      <c r="I1440" s="178">
        <v>0</v>
      </c>
      <c r="J1440" s="178" t="s">
        <v>497</v>
      </c>
    </row>
    <row r="1441" spans="1:10">
      <c r="A1441" s="178">
        <v>500</v>
      </c>
      <c r="B1441" s="178" t="s">
        <v>595</v>
      </c>
      <c r="C1441" s="178">
        <v>2246866.27</v>
      </c>
      <c r="D1441" s="178">
        <v>0</v>
      </c>
      <c r="E1441" s="178">
        <v>2246866.27</v>
      </c>
      <c r="F1441" s="178">
        <v>0</v>
      </c>
      <c r="G1441" s="178">
        <v>0</v>
      </c>
      <c r="H1441" s="178">
        <v>2246866.27</v>
      </c>
      <c r="I1441" s="178">
        <v>2246866.27</v>
      </c>
      <c r="J1441" s="178" t="s">
        <v>497</v>
      </c>
    </row>
    <row r="1442" spans="1:10">
      <c r="A1442" s="178">
        <v>510</v>
      </c>
      <c r="B1442" s="178" t="s">
        <v>596</v>
      </c>
      <c r="C1442" s="178">
        <v>0</v>
      </c>
      <c r="D1442" s="178">
        <v>0</v>
      </c>
      <c r="E1442" s="178">
        <v>0</v>
      </c>
      <c r="F1442" s="178">
        <v>0</v>
      </c>
      <c r="G1442" s="178">
        <v>0</v>
      </c>
      <c r="H1442" s="178">
        <v>0</v>
      </c>
      <c r="I1442" s="178">
        <v>0</v>
      </c>
      <c r="J1442" s="178" t="s">
        <v>497</v>
      </c>
    </row>
    <row r="1443" spans="1:10">
      <c r="A1443" s="178">
        <v>520</v>
      </c>
      <c r="B1443" s="178" t="s">
        <v>597</v>
      </c>
      <c r="C1443" s="178">
        <v>0</v>
      </c>
      <c r="D1443" s="178">
        <v>0</v>
      </c>
      <c r="E1443" s="178">
        <v>0</v>
      </c>
      <c r="F1443" s="178">
        <v>0</v>
      </c>
      <c r="G1443" s="178">
        <v>0</v>
      </c>
      <c r="H1443" s="178">
        <v>0</v>
      </c>
      <c r="I1443" s="178">
        <v>0</v>
      </c>
      <c r="J1443" s="178" t="s">
        <v>497</v>
      </c>
    </row>
    <row r="1444" spans="1:10">
      <c r="A1444" s="178">
        <v>530</v>
      </c>
      <c r="B1444" s="178" t="s">
        <v>598</v>
      </c>
      <c r="C1444" s="178">
        <v>688129.53</v>
      </c>
      <c r="D1444" s="178">
        <v>0</v>
      </c>
      <c r="E1444" s="178">
        <v>688129.53</v>
      </c>
      <c r="F1444" s="178">
        <v>-4462.63</v>
      </c>
      <c r="G1444" s="178">
        <v>-4462.63</v>
      </c>
      <c r="H1444" s="178">
        <v>692592.16</v>
      </c>
      <c r="I1444" s="178">
        <v>692592.16</v>
      </c>
      <c r="J1444" s="178" t="s">
        <v>497</v>
      </c>
    </row>
    <row r="1445" spans="1:10">
      <c r="A1445" s="178">
        <v>540</v>
      </c>
      <c r="B1445" s="178" t="s">
        <v>599</v>
      </c>
      <c r="C1445" s="178">
        <v>0</v>
      </c>
      <c r="D1445" s="178">
        <v>0</v>
      </c>
      <c r="E1445" s="178">
        <v>0</v>
      </c>
      <c r="F1445" s="178">
        <v>0</v>
      </c>
      <c r="G1445" s="178">
        <v>0</v>
      </c>
      <c r="H1445" s="178">
        <v>0</v>
      </c>
      <c r="I1445" s="178">
        <v>0</v>
      </c>
      <c r="J1445" s="178" t="s">
        <v>497</v>
      </c>
    </row>
    <row r="1446" spans="1:10">
      <c r="A1446" s="178">
        <v>600</v>
      </c>
      <c r="B1446" s="178" t="s">
        <v>600</v>
      </c>
      <c r="C1446" s="178">
        <v>688129.53</v>
      </c>
      <c r="D1446" s="178">
        <v>0</v>
      </c>
      <c r="E1446" s="178">
        <v>688129.53</v>
      </c>
      <c r="F1446" s="178">
        <v>-4462.63</v>
      </c>
      <c r="G1446" s="178">
        <v>-4462.63</v>
      </c>
      <c r="H1446" s="178">
        <v>692592.16</v>
      </c>
      <c r="I1446" s="178">
        <v>692592.16</v>
      </c>
      <c r="J1446" s="178" t="s">
        <v>497</v>
      </c>
    </row>
    <row r="1447" spans="1:10">
      <c r="A1447" s="178">
        <v>610</v>
      </c>
      <c r="B1447" s="178" t="s">
        <v>601</v>
      </c>
      <c r="C1447" s="178">
        <v>0</v>
      </c>
      <c r="D1447" s="178">
        <v>0</v>
      </c>
      <c r="E1447" s="178">
        <v>0</v>
      </c>
      <c r="F1447" s="178">
        <v>0</v>
      </c>
      <c r="G1447" s="178">
        <v>0</v>
      </c>
      <c r="H1447" s="178">
        <v>0</v>
      </c>
      <c r="I1447" s="178">
        <v>0</v>
      </c>
      <c r="J1447" s="178" t="s">
        <v>497</v>
      </c>
    </row>
    <row r="1448" spans="1:10">
      <c r="A1448" s="178">
        <v>620</v>
      </c>
      <c r="B1448" s="178"/>
      <c r="C1448" s="178">
        <v>0</v>
      </c>
      <c r="D1448" s="178">
        <v>0</v>
      </c>
      <c r="E1448" s="178">
        <v>0</v>
      </c>
      <c r="F1448" s="178">
        <v>0</v>
      </c>
      <c r="G1448" s="178">
        <v>0</v>
      </c>
      <c r="H1448" s="178">
        <v>0</v>
      </c>
      <c r="I1448" s="178">
        <v>0</v>
      </c>
      <c r="J1448" s="178" t="s">
        <v>497</v>
      </c>
    </row>
    <row r="1449" spans="1:10">
      <c r="A1449" s="178">
        <v>700</v>
      </c>
      <c r="B1449" s="178" t="s">
        <v>602</v>
      </c>
      <c r="C1449" s="178">
        <v>0</v>
      </c>
      <c r="D1449" s="178">
        <v>0</v>
      </c>
      <c r="E1449" s="178">
        <v>0</v>
      </c>
      <c r="F1449" s="178">
        <v>0</v>
      </c>
      <c r="G1449" s="178">
        <v>0</v>
      </c>
      <c r="H1449" s="178">
        <v>0</v>
      </c>
      <c r="I1449" s="178">
        <v>0</v>
      </c>
      <c r="J1449" s="178" t="s">
        <v>497</v>
      </c>
    </row>
    <row r="1450" spans="1:10">
      <c r="A1450" s="178">
        <v>710</v>
      </c>
      <c r="B1450" s="178" t="s">
        <v>558</v>
      </c>
      <c r="C1450" s="178">
        <v>0</v>
      </c>
      <c r="D1450" s="178">
        <v>0</v>
      </c>
      <c r="E1450" s="178">
        <v>0</v>
      </c>
      <c r="F1450" s="178">
        <v>0</v>
      </c>
      <c r="G1450" s="178">
        <v>0</v>
      </c>
      <c r="H1450" s="178">
        <v>0</v>
      </c>
      <c r="I1450" s="178">
        <v>0</v>
      </c>
      <c r="J1450" s="178" t="s">
        <v>497</v>
      </c>
    </row>
    <row r="1451" spans="1:10">
      <c r="A1451" s="178">
        <v>720</v>
      </c>
      <c r="B1451" s="178" t="s">
        <v>603</v>
      </c>
      <c r="C1451" s="178">
        <v>50000</v>
      </c>
      <c r="D1451" s="178">
        <v>0</v>
      </c>
      <c r="E1451" s="178">
        <v>50000</v>
      </c>
      <c r="F1451" s="178">
        <v>0</v>
      </c>
      <c r="G1451" s="178">
        <v>0</v>
      </c>
      <c r="H1451" s="178">
        <v>50000</v>
      </c>
      <c r="I1451" s="178">
        <v>50000</v>
      </c>
      <c r="J1451" s="178" t="s">
        <v>497</v>
      </c>
    </row>
    <row r="1452" spans="1:10">
      <c r="A1452" s="178">
        <v>730</v>
      </c>
      <c r="B1452" s="178" t="s">
        <v>604</v>
      </c>
      <c r="C1452" s="178">
        <v>0</v>
      </c>
      <c r="D1452" s="178">
        <v>0</v>
      </c>
      <c r="E1452" s="178">
        <v>0</v>
      </c>
      <c r="F1452" s="178">
        <v>0</v>
      </c>
      <c r="G1452" s="178">
        <v>0</v>
      </c>
      <c r="H1452" s="178">
        <v>0</v>
      </c>
      <c r="I1452" s="178">
        <v>0</v>
      </c>
      <c r="J1452" s="178" t="s">
        <v>497</v>
      </c>
    </row>
    <row r="1453" spans="1:10">
      <c r="A1453" s="178">
        <v>740</v>
      </c>
      <c r="B1453" s="178" t="s">
        <v>605</v>
      </c>
      <c r="C1453" s="178">
        <v>1235979.47</v>
      </c>
      <c r="D1453" s="178">
        <v>0</v>
      </c>
      <c r="E1453" s="178">
        <v>1235979.47</v>
      </c>
      <c r="F1453" s="178">
        <v>0</v>
      </c>
      <c r="G1453" s="178">
        <v>0</v>
      </c>
      <c r="H1453" s="178">
        <v>983413.61</v>
      </c>
      <c r="I1453" s="178">
        <v>1235979.47</v>
      </c>
      <c r="J1453" s="178" t="s">
        <v>497</v>
      </c>
    </row>
    <row r="1454" spans="1:10">
      <c r="A1454" s="178">
        <v>750</v>
      </c>
      <c r="B1454" s="178" t="s">
        <v>474</v>
      </c>
      <c r="C1454" s="178">
        <v>15433.37</v>
      </c>
      <c r="D1454" s="178">
        <v>0</v>
      </c>
      <c r="E1454" s="178">
        <v>15433.37</v>
      </c>
      <c r="F1454" s="178">
        <v>15433.37</v>
      </c>
      <c r="G1454" s="178">
        <v>15433.37</v>
      </c>
      <c r="H1454" s="178">
        <v>252565.86</v>
      </c>
      <c r="I1454" s="178">
        <v>0</v>
      </c>
      <c r="J1454" s="178" t="s">
        <v>497</v>
      </c>
    </row>
    <row r="1455" spans="1:10">
      <c r="A1455" s="178">
        <v>760</v>
      </c>
      <c r="B1455" s="178" t="s">
        <v>606</v>
      </c>
      <c r="C1455" s="178">
        <v>586186.93</v>
      </c>
      <c r="D1455" s="178">
        <v>0</v>
      </c>
      <c r="E1455" s="178">
        <v>586186.93</v>
      </c>
      <c r="F1455" s="178">
        <v>0</v>
      </c>
      <c r="G1455" s="178">
        <v>0</v>
      </c>
      <c r="H1455" s="178">
        <v>586186.93</v>
      </c>
      <c r="I1455" s="178">
        <v>586186.93</v>
      </c>
      <c r="J1455" s="178" t="s">
        <v>497</v>
      </c>
    </row>
    <row r="1456" spans="1:10">
      <c r="A1456" s="178">
        <v>770</v>
      </c>
      <c r="B1456" s="178"/>
      <c r="C1456" s="178">
        <v>0</v>
      </c>
      <c r="D1456" s="178">
        <v>0</v>
      </c>
      <c r="E1456" s="178">
        <v>0</v>
      </c>
      <c r="F1456" s="178">
        <v>0</v>
      </c>
      <c r="G1456" s="178">
        <v>0</v>
      </c>
      <c r="H1456" s="178">
        <v>0</v>
      </c>
      <c r="I1456" s="178">
        <v>0</v>
      </c>
      <c r="J1456" s="178" t="s">
        <v>497</v>
      </c>
    </row>
    <row r="1457" spans="1:10">
      <c r="A1457" s="178">
        <v>800</v>
      </c>
      <c r="B1457" s="178" t="s">
        <v>607</v>
      </c>
      <c r="C1457" s="178">
        <v>1887599.77</v>
      </c>
      <c r="D1457" s="178">
        <v>0</v>
      </c>
      <c r="E1457" s="178">
        <v>1887599.77</v>
      </c>
      <c r="F1457" s="178">
        <v>15433.37</v>
      </c>
      <c r="G1457" s="178">
        <v>15433.37</v>
      </c>
      <c r="H1457" s="178">
        <v>1872166.4</v>
      </c>
      <c r="I1457" s="178">
        <v>1872166.4</v>
      </c>
      <c r="J1457" s="178" t="s">
        <v>497</v>
      </c>
    </row>
    <row r="1458" spans="1:10">
      <c r="A1458" s="178">
        <v>900</v>
      </c>
      <c r="B1458" s="178" t="s">
        <v>608</v>
      </c>
      <c r="C1458" s="178">
        <v>4822595.57</v>
      </c>
      <c r="D1458" s="178">
        <v>0</v>
      </c>
      <c r="E1458" s="178">
        <v>4822595.57</v>
      </c>
      <c r="F1458" s="178">
        <v>10970.74</v>
      </c>
      <c r="G1458" s="178">
        <v>10970.74</v>
      </c>
      <c r="H1458" s="178">
        <v>4811624.83</v>
      </c>
      <c r="I1458" s="178">
        <v>4811624.83</v>
      </c>
      <c r="J1458" s="178" t="s">
        <v>497</v>
      </c>
    </row>
    <row r="1459" spans="1:10">
      <c r="A1459" s="178">
        <v>1000</v>
      </c>
      <c r="B1459" s="178" t="s">
        <v>559</v>
      </c>
      <c r="C1459" s="178">
        <v>0</v>
      </c>
      <c r="D1459" s="178">
        <v>0</v>
      </c>
      <c r="E1459" s="178">
        <v>0</v>
      </c>
      <c r="F1459" s="178">
        <v>0</v>
      </c>
      <c r="G1459" s="178">
        <v>0</v>
      </c>
      <c r="H1459" s="178">
        <v>0</v>
      </c>
      <c r="I1459" s="178">
        <v>0</v>
      </c>
      <c r="J1459" s="178" t="s">
        <v>497</v>
      </c>
    </row>
    <row r="1460" spans="1:10">
      <c r="A1460" s="178" t="s">
        <v>485</v>
      </c>
      <c r="B1460" s="178" t="s">
        <v>402</v>
      </c>
      <c r="C1460" s="178" t="s">
        <v>538</v>
      </c>
      <c r="D1460" s="178" t="s">
        <v>539</v>
      </c>
      <c r="E1460" s="178" t="s">
        <v>540</v>
      </c>
      <c r="F1460" s="178" t="s">
        <v>541</v>
      </c>
      <c r="G1460" s="178" t="s">
        <v>542</v>
      </c>
      <c r="H1460" s="178" t="s">
        <v>543</v>
      </c>
      <c r="I1460" s="178" t="s">
        <v>544</v>
      </c>
      <c r="J1460" s="178" t="s">
        <v>405</v>
      </c>
    </row>
    <row r="1461" spans="1:10">
      <c r="A1461" s="178">
        <v>10</v>
      </c>
      <c r="B1461" s="178" t="s">
        <v>545</v>
      </c>
      <c r="C1461" s="178">
        <v>0</v>
      </c>
      <c r="D1461" s="178">
        <v>0</v>
      </c>
      <c r="E1461" s="178">
        <v>0</v>
      </c>
      <c r="F1461" s="178">
        <v>0</v>
      </c>
      <c r="G1461" s="178">
        <v>0</v>
      </c>
      <c r="H1461" s="178">
        <v>0</v>
      </c>
      <c r="I1461" s="178">
        <v>0</v>
      </c>
      <c r="J1461" s="178" t="s">
        <v>497</v>
      </c>
    </row>
    <row r="1462" spans="1:10">
      <c r="A1462" s="178">
        <v>20</v>
      </c>
      <c r="B1462" s="178" t="s">
        <v>563</v>
      </c>
      <c r="C1462" s="178">
        <v>69398.9</v>
      </c>
      <c r="D1462" s="178">
        <v>54512</v>
      </c>
      <c r="E1462" s="178">
        <v>14886.9</v>
      </c>
      <c r="F1462" s="178">
        <v>-292670.81</v>
      </c>
      <c r="G1462" s="178">
        <v>-292670.81</v>
      </c>
      <c r="H1462" s="178">
        <v>362069.71</v>
      </c>
      <c r="I1462" s="178">
        <v>362069.71</v>
      </c>
      <c r="J1462" s="178" t="s">
        <v>497</v>
      </c>
    </row>
    <row r="1463" spans="1:10">
      <c r="A1463" s="178">
        <v>30</v>
      </c>
      <c r="B1463" s="178" t="s">
        <v>564</v>
      </c>
      <c r="C1463" s="178">
        <v>0</v>
      </c>
      <c r="D1463" s="178">
        <v>0</v>
      </c>
      <c r="E1463" s="178">
        <v>0</v>
      </c>
      <c r="F1463" s="178">
        <v>0</v>
      </c>
      <c r="G1463" s="178">
        <v>0</v>
      </c>
      <c r="H1463" s="178">
        <v>0</v>
      </c>
      <c r="I1463" s="178">
        <v>0</v>
      </c>
      <c r="J1463" s="178" t="s">
        <v>497</v>
      </c>
    </row>
    <row r="1464" spans="1:10">
      <c r="A1464" s="178">
        <v>40</v>
      </c>
      <c r="B1464" s="178" t="s">
        <v>565</v>
      </c>
      <c r="C1464" s="178">
        <v>203507.62</v>
      </c>
      <c r="D1464" s="178">
        <v>203179</v>
      </c>
      <c r="E1464" s="178">
        <v>328.62</v>
      </c>
      <c r="F1464" s="178">
        <v>19706.08</v>
      </c>
      <c r="G1464" s="178">
        <v>19706.08</v>
      </c>
      <c r="H1464" s="178">
        <v>183801.54</v>
      </c>
      <c r="I1464" s="178">
        <v>183801.54</v>
      </c>
      <c r="J1464" s="178" t="s">
        <v>497</v>
      </c>
    </row>
    <row r="1465" spans="1:10">
      <c r="A1465" s="178">
        <v>50</v>
      </c>
      <c r="B1465" s="178" t="s">
        <v>566</v>
      </c>
      <c r="C1465" s="178">
        <v>0</v>
      </c>
      <c r="D1465" s="178">
        <v>0</v>
      </c>
      <c r="E1465" s="178">
        <v>0</v>
      </c>
      <c r="F1465" s="178">
        <v>0</v>
      </c>
      <c r="G1465" s="178">
        <v>0</v>
      </c>
      <c r="H1465" s="178">
        <v>0</v>
      </c>
      <c r="I1465" s="178">
        <v>0</v>
      </c>
      <c r="J1465" s="178" t="s">
        <v>497</v>
      </c>
    </row>
    <row r="1466" spans="1:10">
      <c r="A1466" s="178">
        <v>60</v>
      </c>
      <c r="B1466" s="178" t="s">
        <v>268</v>
      </c>
      <c r="C1466" s="178">
        <v>30591.48</v>
      </c>
      <c r="D1466" s="178">
        <v>21854</v>
      </c>
      <c r="E1466" s="178">
        <v>8737.48</v>
      </c>
      <c r="F1466" s="178">
        <v>-2658.37</v>
      </c>
      <c r="G1466" s="178">
        <v>-2658.37</v>
      </c>
      <c r="H1466" s="178">
        <v>33249.85</v>
      </c>
      <c r="I1466" s="178">
        <v>33249.85</v>
      </c>
      <c r="J1466" s="178" t="s">
        <v>497</v>
      </c>
    </row>
    <row r="1467" spans="1:10">
      <c r="A1467" s="178">
        <v>70</v>
      </c>
      <c r="B1467" s="178" t="s">
        <v>567</v>
      </c>
      <c r="C1467" s="178">
        <v>52147.52</v>
      </c>
      <c r="D1467" s="178">
        <v>0</v>
      </c>
      <c r="E1467" s="178">
        <v>52147.52</v>
      </c>
      <c r="F1467" s="178">
        <v>-699.12</v>
      </c>
      <c r="G1467" s="178">
        <v>-699.12</v>
      </c>
      <c r="H1467" s="178">
        <v>52846.64</v>
      </c>
      <c r="I1467" s="178">
        <v>52846.64</v>
      </c>
      <c r="J1467" s="178" t="s">
        <v>497</v>
      </c>
    </row>
    <row r="1468" spans="1:10">
      <c r="A1468" s="178">
        <v>80</v>
      </c>
      <c r="B1468" s="178" t="s">
        <v>568</v>
      </c>
      <c r="C1468" s="178">
        <v>129183.34</v>
      </c>
      <c r="D1468" s="178">
        <v>138757</v>
      </c>
      <c r="E1468" s="178">
        <v>-9573.66</v>
      </c>
      <c r="F1468" s="178">
        <v>310404.55</v>
      </c>
      <c r="G1468" s="178">
        <v>310404.55</v>
      </c>
      <c r="H1468" s="178">
        <v>-181221.21</v>
      </c>
      <c r="I1468" s="178">
        <v>-181221.21</v>
      </c>
      <c r="J1468" s="178" t="s">
        <v>497</v>
      </c>
    </row>
    <row r="1469" spans="1:10">
      <c r="A1469" s="178">
        <v>100</v>
      </c>
      <c r="B1469" s="178" t="s">
        <v>569</v>
      </c>
      <c r="C1469" s="178">
        <v>484828.86</v>
      </c>
      <c r="D1469" s="178">
        <v>418302</v>
      </c>
      <c r="E1469" s="178">
        <v>66526.86</v>
      </c>
      <c r="F1469" s="178">
        <v>34082.33</v>
      </c>
      <c r="G1469" s="178">
        <v>34082.33</v>
      </c>
      <c r="H1469" s="178">
        <v>450746.53</v>
      </c>
      <c r="I1469" s="178">
        <v>450746.53</v>
      </c>
      <c r="J1469" s="178" t="s">
        <v>497</v>
      </c>
    </row>
    <row r="1470" spans="1:10">
      <c r="A1470" s="178">
        <v>110</v>
      </c>
      <c r="B1470" s="178" t="s">
        <v>570</v>
      </c>
      <c r="C1470" s="178">
        <v>0</v>
      </c>
      <c r="D1470" s="178">
        <v>0</v>
      </c>
      <c r="E1470" s="178">
        <v>0</v>
      </c>
      <c r="F1470" s="178">
        <v>0</v>
      </c>
      <c r="G1470" s="178">
        <v>0</v>
      </c>
      <c r="H1470" s="178">
        <v>0</v>
      </c>
      <c r="I1470" s="178">
        <v>0</v>
      </c>
      <c r="J1470" s="178" t="s">
        <v>497</v>
      </c>
    </row>
    <row r="1471" spans="1:10">
      <c r="A1471" s="178">
        <v>120</v>
      </c>
      <c r="B1471" s="178" t="s">
        <v>571</v>
      </c>
      <c r="C1471" s="178">
        <v>0</v>
      </c>
      <c r="D1471" s="178">
        <v>0</v>
      </c>
      <c r="E1471" s="178">
        <v>0</v>
      </c>
      <c r="F1471" s="178">
        <v>0</v>
      </c>
      <c r="G1471" s="178">
        <v>0</v>
      </c>
      <c r="H1471" s="178">
        <v>0</v>
      </c>
      <c r="I1471" s="178">
        <v>0</v>
      </c>
      <c r="J1471" s="178" t="s">
        <v>497</v>
      </c>
    </row>
    <row r="1472" spans="1:10">
      <c r="A1472" s="178">
        <v>130</v>
      </c>
      <c r="B1472" s="178" t="s">
        <v>572</v>
      </c>
      <c r="C1472" s="178">
        <v>0</v>
      </c>
      <c r="D1472" s="178">
        <v>0</v>
      </c>
      <c r="E1472" s="178">
        <v>0</v>
      </c>
      <c r="F1472" s="178">
        <v>0</v>
      </c>
      <c r="G1472" s="178">
        <v>0</v>
      </c>
      <c r="H1472" s="178">
        <v>0</v>
      </c>
      <c r="I1472" s="178">
        <v>0</v>
      </c>
      <c r="J1472" s="178" t="s">
        <v>497</v>
      </c>
    </row>
    <row r="1473" spans="1:10">
      <c r="A1473" s="178">
        <v>140</v>
      </c>
      <c r="B1473" s="178" t="s">
        <v>573</v>
      </c>
      <c r="C1473" s="178">
        <v>0</v>
      </c>
      <c r="D1473" s="178">
        <v>449996</v>
      </c>
      <c r="E1473" s="178">
        <v>-449996</v>
      </c>
      <c r="F1473" s="178">
        <v>0</v>
      </c>
      <c r="G1473" s="178">
        <v>0</v>
      </c>
      <c r="H1473" s="178">
        <v>0</v>
      </c>
      <c r="I1473" s="178">
        <v>0</v>
      </c>
      <c r="J1473" s="178" t="s">
        <v>497</v>
      </c>
    </row>
    <row r="1474" spans="1:10">
      <c r="A1474" s="178">
        <v>150</v>
      </c>
      <c r="B1474" s="178" t="s">
        <v>574</v>
      </c>
      <c r="C1474" s="178">
        <v>0</v>
      </c>
      <c r="D1474" s="178">
        <v>0</v>
      </c>
      <c r="E1474" s="178">
        <v>0</v>
      </c>
      <c r="F1474" s="178">
        <v>0</v>
      </c>
      <c r="G1474" s="178">
        <v>0</v>
      </c>
      <c r="H1474" s="178">
        <v>0</v>
      </c>
      <c r="I1474" s="178">
        <v>0</v>
      </c>
      <c r="J1474" s="178" t="s">
        <v>497</v>
      </c>
    </row>
    <row r="1475" spans="1:10">
      <c r="A1475" s="178">
        <v>160</v>
      </c>
      <c r="B1475" s="178" t="s">
        <v>575</v>
      </c>
      <c r="C1475" s="178">
        <v>0</v>
      </c>
      <c r="D1475" s="178">
        <v>26859</v>
      </c>
      <c r="E1475" s="178">
        <v>-26859</v>
      </c>
      <c r="F1475" s="178">
        <v>0</v>
      </c>
      <c r="G1475" s="178">
        <v>0</v>
      </c>
      <c r="H1475" s="178">
        <v>0</v>
      </c>
      <c r="I1475" s="178">
        <v>0</v>
      </c>
      <c r="J1475" s="178" t="s">
        <v>497</v>
      </c>
    </row>
    <row r="1476" spans="1:10">
      <c r="A1476" s="178">
        <v>170</v>
      </c>
      <c r="B1476" s="178" t="s">
        <v>576</v>
      </c>
      <c r="C1476" s="178">
        <v>460486.93</v>
      </c>
      <c r="D1476" s="178">
        <v>0</v>
      </c>
      <c r="E1476" s="178">
        <v>460486.93</v>
      </c>
      <c r="F1476" s="178">
        <v>9107.46</v>
      </c>
      <c r="G1476" s="178">
        <v>9107.46</v>
      </c>
      <c r="H1476" s="178">
        <v>451379.47</v>
      </c>
      <c r="I1476" s="178">
        <v>451379.47</v>
      </c>
      <c r="J1476" s="178" t="s">
        <v>497</v>
      </c>
    </row>
    <row r="1477" spans="1:10">
      <c r="A1477" s="178">
        <v>180</v>
      </c>
      <c r="B1477" s="178" t="s">
        <v>577</v>
      </c>
      <c r="C1477" s="178">
        <v>366496</v>
      </c>
      <c r="D1477" s="178">
        <v>441615</v>
      </c>
      <c r="E1477" s="178">
        <v>-75119</v>
      </c>
      <c r="F1477" s="178">
        <v>0</v>
      </c>
      <c r="G1477" s="178">
        <v>0</v>
      </c>
      <c r="H1477" s="178">
        <v>366496</v>
      </c>
      <c r="I1477" s="178">
        <v>366496</v>
      </c>
      <c r="J1477" s="178" t="s">
        <v>497</v>
      </c>
    </row>
    <row r="1478" spans="1:10">
      <c r="A1478" s="178">
        <v>190</v>
      </c>
      <c r="B1478" s="178" t="s">
        <v>578</v>
      </c>
      <c r="C1478" s="178">
        <v>-808445.26</v>
      </c>
      <c r="D1478" s="178">
        <v>-893163</v>
      </c>
      <c r="E1478" s="178">
        <v>84717.74</v>
      </c>
      <c r="F1478" s="178">
        <v>-5119.02</v>
      </c>
      <c r="G1478" s="178">
        <v>-5119.02</v>
      </c>
      <c r="H1478" s="178">
        <v>-803326.24</v>
      </c>
      <c r="I1478" s="178">
        <v>-803326.24</v>
      </c>
      <c r="J1478" s="178" t="s">
        <v>497</v>
      </c>
    </row>
    <row r="1479" spans="1:10">
      <c r="A1479" s="178">
        <v>200</v>
      </c>
      <c r="B1479" s="178" t="s">
        <v>579</v>
      </c>
      <c r="C1479" s="178">
        <v>18537.67</v>
      </c>
      <c r="D1479" s="178">
        <v>25307</v>
      </c>
      <c r="E1479" s="178">
        <v>-6769.33</v>
      </c>
      <c r="F1479" s="178">
        <v>3988.44</v>
      </c>
      <c r="G1479" s="178">
        <v>3988.44</v>
      </c>
      <c r="H1479" s="178">
        <v>14549.23</v>
      </c>
      <c r="I1479" s="178">
        <v>14549.23</v>
      </c>
      <c r="J1479" s="178" t="s">
        <v>497</v>
      </c>
    </row>
    <row r="1480" spans="1:10">
      <c r="A1480" s="178">
        <v>210</v>
      </c>
      <c r="B1480" s="178" t="s">
        <v>580</v>
      </c>
      <c r="C1480" s="178">
        <v>0</v>
      </c>
      <c r="D1480" s="178">
        <v>0</v>
      </c>
      <c r="E1480" s="178">
        <v>0</v>
      </c>
      <c r="F1480" s="178">
        <v>0</v>
      </c>
      <c r="G1480" s="178">
        <v>0</v>
      </c>
      <c r="H1480" s="178">
        <v>0</v>
      </c>
      <c r="I1480" s="178">
        <v>0</v>
      </c>
      <c r="J1480" s="178" t="s">
        <v>497</v>
      </c>
    </row>
    <row r="1481" spans="1:10">
      <c r="A1481" s="178">
        <v>220</v>
      </c>
      <c r="B1481" s="178" t="s">
        <v>581</v>
      </c>
      <c r="C1481" s="178">
        <v>0</v>
      </c>
      <c r="D1481" s="178">
        <v>0</v>
      </c>
      <c r="E1481" s="178">
        <v>0</v>
      </c>
      <c r="F1481" s="178">
        <v>0</v>
      </c>
      <c r="G1481" s="178">
        <v>0</v>
      </c>
      <c r="H1481" s="178">
        <v>0</v>
      </c>
      <c r="I1481" s="178">
        <v>0</v>
      </c>
      <c r="J1481" s="178" t="s">
        <v>497</v>
      </c>
    </row>
    <row r="1482" spans="1:10">
      <c r="A1482" s="178">
        <v>230</v>
      </c>
      <c r="B1482" s="178" t="s">
        <v>582</v>
      </c>
      <c r="C1482" s="178">
        <v>473030.51</v>
      </c>
      <c r="D1482" s="178">
        <v>444010</v>
      </c>
      <c r="E1482" s="178">
        <v>29020.51</v>
      </c>
      <c r="F1482" s="178">
        <v>0</v>
      </c>
      <c r="G1482" s="178">
        <v>0</v>
      </c>
      <c r="H1482" s="178">
        <v>473030.51</v>
      </c>
      <c r="I1482" s="178">
        <v>473030.51</v>
      </c>
      <c r="J1482" s="178" t="s">
        <v>497</v>
      </c>
    </row>
    <row r="1483" spans="1:10">
      <c r="A1483" s="178">
        <v>240</v>
      </c>
      <c r="B1483" s="178" t="s">
        <v>583</v>
      </c>
      <c r="C1483" s="178">
        <v>-370010.89</v>
      </c>
      <c r="D1483" s="178">
        <v>-288485</v>
      </c>
      <c r="E1483" s="178">
        <v>-81525.89</v>
      </c>
      <c r="F1483" s="178">
        <v>0</v>
      </c>
      <c r="G1483" s="178">
        <v>0</v>
      </c>
      <c r="H1483" s="178">
        <v>-370010.89</v>
      </c>
      <c r="I1483" s="178">
        <v>-370010.89</v>
      </c>
      <c r="J1483" s="178" t="s">
        <v>497</v>
      </c>
    </row>
    <row r="1484" spans="1:10">
      <c r="A1484" s="178">
        <v>250</v>
      </c>
      <c r="B1484" s="178" t="s">
        <v>584</v>
      </c>
      <c r="C1484" s="178">
        <v>103019.62</v>
      </c>
      <c r="D1484" s="178">
        <v>155525</v>
      </c>
      <c r="E1484" s="178">
        <v>-52505.38</v>
      </c>
      <c r="F1484" s="178">
        <v>0</v>
      </c>
      <c r="G1484" s="178">
        <v>0</v>
      </c>
      <c r="H1484" s="178">
        <v>103019.62</v>
      </c>
      <c r="I1484" s="178">
        <v>103019.62</v>
      </c>
      <c r="J1484" s="178" t="s">
        <v>497</v>
      </c>
    </row>
    <row r="1485" spans="1:10">
      <c r="A1485" s="178">
        <v>260</v>
      </c>
      <c r="B1485" s="178" t="s">
        <v>585</v>
      </c>
      <c r="C1485" s="178">
        <v>0</v>
      </c>
      <c r="D1485" s="178">
        <v>0</v>
      </c>
      <c r="E1485" s="178">
        <v>0</v>
      </c>
      <c r="F1485" s="178">
        <v>0</v>
      </c>
      <c r="G1485" s="178">
        <v>0</v>
      </c>
      <c r="H1485" s="178">
        <v>0</v>
      </c>
      <c r="I1485" s="178">
        <v>0</v>
      </c>
      <c r="J1485" s="178" t="s">
        <v>497</v>
      </c>
    </row>
    <row r="1486" spans="1:10">
      <c r="A1486" s="178">
        <v>270</v>
      </c>
      <c r="B1486" s="178" t="s">
        <v>586</v>
      </c>
      <c r="C1486" s="178">
        <v>59118.67</v>
      </c>
      <c r="D1486" s="178">
        <v>0</v>
      </c>
      <c r="E1486" s="178">
        <v>59118.67</v>
      </c>
      <c r="F1486" s="178">
        <v>0</v>
      </c>
      <c r="G1486" s="178">
        <v>0</v>
      </c>
      <c r="H1486" s="178">
        <v>59118.67</v>
      </c>
      <c r="I1486" s="178">
        <v>59118.67</v>
      </c>
      <c r="J1486" s="178" t="s">
        <v>497</v>
      </c>
    </row>
    <row r="1487" spans="1:10">
      <c r="A1487" s="178">
        <v>280</v>
      </c>
      <c r="B1487" s="178" t="s">
        <v>587</v>
      </c>
      <c r="C1487" s="178">
        <v>59118.67</v>
      </c>
      <c r="D1487" s="178">
        <v>0</v>
      </c>
      <c r="E1487" s="178">
        <v>59118.67</v>
      </c>
      <c r="F1487" s="178">
        <v>0</v>
      </c>
      <c r="G1487" s="178">
        <v>0</v>
      </c>
      <c r="H1487" s="178">
        <v>59118.67</v>
      </c>
      <c r="I1487" s="178">
        <v>59118.67</v>
      </c>
      <c r="J1487" s="178" t="s">
        <v>497</v>
      </c>
    </row>
    <row r="1488" spans="1:10">
      <c r="A1488" s="178">
        <v>400</v>
      </c>
      <c r="B1488" s="178" t="s">
        <v>588</v>
      </c>
      <c r="C1488" s="178">
        <v>665504.82</v>
      </c>
      <c r="D1488" s="178">
        <v>599134</v>
      </c>
      <c r="E1488" s="178">
        <v>66370.82</v>
      </c>
      <c r="F1488" s="178">
        <v>38070.77</v>
      </c>
      <c r="G1488" s="178">
        <v>38070.77</v>
      </c>
      <c r="H1488" s="178">
        <v>627434.05</v>
      </c>
      <c r="I1488" s="178">
        <v>627434.05</v>
      </c>
      <c r="J1488" s="178" t="s">
        <v>497</v>
      </c>
    </row>
    <row r="1489" spans="1:10">
      <c r="A1489" s="178">
        <v>410</v>
      </c>
      <c r="B1489" s="178" t="s">
        <v>589</v>
      </c>
      <c r="C1489" s="178">
        <v>0</v>
      </c>
      <c r="D1489" s="178">
        <v>0</v>
      </c>
      <c r="E1489" s="178">
        <v>0</v>
      </c>
      <c r="F1489" s="178">
        <v>0</v>
      </c>
      <c r="G1489" s="178">
        <v>0</v>
      </c>
      <c r="H1489" s="178">
        <v>0</v>
      </c>
      <c r="I1489" s="178">
        <v>0</v>
      </c>
      <c r="J1489" s="178" t="s">
        <v>497</v>
      </c>
    </row>
    <row r="1490" spans="1:10">
      <c r="A1490" s="178">
        <v>420</v>
      </c>
      <c r="B1490" s="178" t="s">
        <v>590</v>
      </c>
      <c r="C1490" s="178">
        <v>21050.32</v>
      </c>
      <c r="D1490" s="178">
        <v>38555</v>
      </c>
      <c r="E1490" s="178">
        <v>-17504.68</v>
      </c>
      <c r="F1490" s="178">
        <v>3894.04</v>
      </c>
      <c r="G1490" s="178">
        <v>3894.04</v>
      </c>
      <c r="H1490" s="178">
        <v>17156.28</v>
      </c>
      <c r="I1490" s="178">
        <v>17156.28</v>
      </c>
      <c r="J1490" s="178" t="s">
        <v>497</v>
      </c>
    </row>
    <row r="1491" spans="1:10">
      <c r="A1491" s="178">
        <v>430</v>
      </c>
      <c r="B1491" s="178" t="s">
        <v>591</v>
      </c>
      <c r="C1491" s="178">
        <v>34891.19</v>
      </c>
      <c r="D1491" s="178">
        <v>78865</v>
      </c>
      <c r="E1491" s="178">
        <v>-43973.81</v>
      </c>
      <c r="F1491" s="178">
        <v>7698.37</v>
      </c>
      <c r="G1491" s="178">
        <v>7698.37</v>
      </c>
      <c r="H1491" s="178">
        <v>27192.82</v>
      </c>
      <c r="I1491" s="178">
        <v>27192.82</v>
      </c>
      <c r="J1491" s="178" t="s">
        <v>497</v>
      </c>
    </row>
    <row r="1492" spans="1:10">
      <c r="A1492" s="178">
        <v>440</v>
      </c>
      <c r="B1492" s="178" t="s">
        <v>592</v>
      </c>
      <c r="C1492" s="178">
        <v>0</v>
      </c>
      <c r="D1492" s="178">
        <v>1444</v>
      </c>
      <c r="E1492" s="178">
        <v>-1444</v>
      </c>
      <c r="F1492" s="178">
        <v>0</v>
      </c>
      <c r="G1492" s="178">
        <v>0</v>
      </c>
      <c r="H1492" s="178">
        <v>0</v>
      </c>
      <c r="I1492" s="178">
        <v>0</v>
      </c>
      <c r="J1492" s="178" t="s">
        <v>497</v>
      </c>
    </row>
    <row r="1493" spans="1:10">
      <c r="A1493" s="178">
        <v>450</v>
      </c>
      <c r="B1493" s="178" t="s">
        <v>593</v>
      </c>
      <c r="C1493" s="178">
        <v>78113.67</v>
      </c>
      <c r="D1493" s="178">
        <v>0</v>
      </c>
      <c r="E1493" s="178">
        <v>78113.67</v>
      </c>
      <c r="F1493" s="178">
        <v>-779.72</v>
      </c>
      <c r="G1493" s="178">
        <v>-779.72</v>
      </c>
      <c r="H1493" s="178">
        <v>78893.39</v>
      </c>
      <c r="I1493" s="178">
        <v>78893.39</v>
      </c>
      <c r="J1493" s="178" t="s">
        <v>497</v>
      </c>
    </row>
    <row r="1494" spans="1:10">
      <c r="A1494" s="178">
        <v>460</v>
      </c>
      <c r="B1494" s="178" t="s">
        <v>594</v>
      </c>
      <c r="C1494" s="178">
        <v>0</v>
      </c>
      <c r="D1494" s="178">
        <v>0</v>
      </c>
      <c r="E1494" s="178">
        <v>0</v>
      </c>
      <c r="F1494" s="178">
        <v>0</v>
      </c>
      <c r="G1494" s="178">
        <v>0</v>
      </c>
      <c r="H1494" s="178">
        <v>0</v>
      </c>
      <c r="I1494" s="178">
        <v>0</v>
      </c>
      <c r="J1494" s="178" t="s">
        <v>497</v>
      </c>
    </row>
    <row r="1495" spans="1:10">
      <c r="A1495" s="178">
        <v>500</v>
      </c>
      <c r="B1495" s="178" t="s">
        <v>595</v>
      </c>
      <c r="C1495" s="178">
        <v>134055.18</v>
      </c>
      <c r="D1495" s="178">
        <v>118864</v>
      </c>
      <c r="E1495" s="178">
        <v>15191.18</v>
      </c>
      <c r="F1495" s="178">
        <v>10812.69</v>
      </c>
      <c r="G1495" s="178">
        <v>10812.69</v>
      </c>
      <c r="H1495" s="178">
        <v>123242.49</v>
      </c>
      <c r="I1495" s="178">
        <v>123242.49</v>
      </c>
      <c r="J1495" s="178" t="s">
        <v>497</v>
      </c>
    </row>
    <row r="1496" spans="1:10">
      <c r="A1496" s="178">
        <v>510</v>
      </c>
      <c r="B1496" s="178" t="s">
        <v>596</v>
      </c>
      <c r="C1496" s="178">
        <v>0</v>
      </c>
      <c r="D1496" s="178">
        <v>0</v>
      </c>
      <c r="E1496" s="178">
        <v>0</v>
      </c>
      <c r="F1496" s="178">
        <v>0</v>
      </c>
      <c r="G1496" s="178">
        <v>0</v>
      </c>
      <c r="H1496" s="178">
        <v>0</v>
      </c>
      <c r="I1496" s="178">
        <v>0</v>
      </c>
      <c r="J1496" s="178" t="s">
        <v>497</v>
      </c>
    </row>
    <row r="1497" spans="1:10">
      <c r="A1497" s="178">
        <v>520</v>
      </c>
      <c r="B1497" s="178" t="s">
        <v>597</v>
      </c>
      <c r="C1497" s="178">
        <v>-17201.39</v>
      </c>
      <c r="D1497" s="178">
        <v>0</v>
      </c>
      <c r="E1497" s="178">
        <v>-17201.39</v>
      </c>
      <c r="F1497" s="178">
        <v>0</v>
      </c>
      <c r="G1497" s="178">
        <v>0</v>
      </c>
      <c r="H1497" s="178">
        <v>-17201.39</v>
      </c>
      <c r="I1497" s="178">
        <v>-17201.39</v>
      </c>
      <c r="J1497" s="178" t="s">
        <v>497</v>
      </c>
    </row>
    <row r="1498" spans="1:10">
      <c r="A1498" s="178">
        <v>530</v>
      </c>
      <c r="B1498" s="178" t="s">
        <v>598</v>
      </c>
      <c r="C1498" s="178">
        <v>0</v>
      </c>
      <c r="D1498" s="178">
        <v>284958</v>
      </c>
      <c r="E1498" s="178">
        <v>-284958</v>
      </c>
      <c r="F1498" s="178">
        <v>0</v>
      </c>
      <c r="G1498" s="178">
        <v>0</v>
      </c>
      <c r="H1498" s="178">
        <v>0</v>
      </c>
      <c r="I1498" s="178">
        <v>0</v>
      </c>
      <c r="J1498" s="178" t="s">
        <v>497</v>
      </c>
    </row>
    <row r="1499" spans="1:10">
      <c r="A1499" s="178">
        <v>540</v>
      </c>
      <c r="B1499" s="178" t="s">
        <v>599</v>
      </c>
      <c r="C1499" s="178">
        <v>283700</v>
      </c>
      <c r="D1499" s="178">
        <v>0</v>
      </c>
      <c r="E1499" s="178">
        <v>283700</v>
      </c>
      <c r="F1499" s="178">
        <v>0</v>
      </c>
      <c r="G1499" s="178">
        <v>0</v>
      </c>
      <c r="H1499" s="178">
        <v>283700</v>
      </c>
      <c r="I1499" s="178">
        <v>283700</v>
      </c>
      <c r="J1499" s="178" t="s">
        <v>497</v>
      </c>
    </row>
    <row r="1500" spans="1:10">
      <c r="A1500" s="178">
        <v>600</v>
      </c>
      <c r="B1500" s="178" t="s">
        <v>600</v>
      </c>
      <c r="C1500" s="178">
        <v>266498.61</v>
      </c>
      <c r="D1500" s="178">
        <v>284958</v>
      </c>
      <c r="E1500" s="178">
        <v>-18459.39</v>
      </c>
      <c r="F1500" s="178">
        <v>0</v>
      </c>
      <c r="G1500" s="178">
        <v>0</v>
      </c>
      <c r="H1500" s="178">
        <v>266498.61</v>
      </c>
      <c r="I1500" s="178">
        <v>266498.61</v>
      </c>
      <c r="J1500" s="178" t="s">
        <v>497</v>
      </c>
    </row>
    <row r="1501" spans="1:10">
      <c r="A1501" s="178">
        <v>610</v>
      </c>
      <c r="B1501" s="178" t="s">
        <v>601</v>
      </c>
      <c r="C1501" s="178">
        <v>0</v>
      </c>
      <c r="D1501" s="178">
        <v>0</v>
      </c>
      <c r="E1501" s="178">
        <v>0</v>
      </c>
      <c r="F1501" s="178">
        <v>0</v>
      </c>
      <c r="G1501" s="178">
        <v>0</v>
      </c>
      <c r="H1501" s="178">
        <v>0</v>
      </c>
      <c r="I1501" s="178">
        <v>0</v>
      </c>
      <c r="J1501" s="178" t="s">
        <v>497</v>
      </c>
    </row>
    <row r="1502" spans="1:10">
      <c r="A1502" s="178">
        <v>620</v>
      </c>
      <c r="B1502" s="178"/>
      <c r="C1502" s="178">
        <v>0</v>
      </c>
      <c r="D1502" s="178">
        <v>0</v>
      </c>
      <c r="E1502" s="178">
        <v>0</v>
      </c>
      <c r="F1502" s="178">
        <v>0</v>
      </c>
      <c r="G1502" s="178">
        <v>0</v>
      </c>
      <c r="H1502" s="178">
        <v>0</v>
      </c>
      <c r="I1502" s="178">
        <v>0</v>
      </c>
      <c r="J1502" s="178" t="s">
        <v>497</v>
      </c>
    </row>
    <row r="1503" spans="1:10">
      <c r="A1503" s="178">
        <v>700</v>
      </c>
      <c r="B1503" s="178" t="s">
        <v>602</v>
      </c>
      <c r="C1503" s="178">
        <v>0</v>
      </c>
      <c r="D1503" s="178">
        <v>0</v>
      </c>
      <c r="E1503" s="178">
        <v>0</v>
      </c>
      <c r="F1503" s="178">
        <v>0</v>
      </c>
      <c r="G1503" s="178">
        <v>0</v>
      </c>
      <c r="H1503" s="178">
        <v>0</v>
      </c>
      <c r="I1503" s="178">
        <v>0</v>
      </c>
      <c r="J1503" s="178" t="s">
        <v>497</v>
      </c>
    </row>
    <row r="1504" spans="1:10">
      <c r="A1504" s="178">
        <v>710</v>
      </c>
      <c r="B1504" s="178" t="s">
        <v>558</v>
      </c>
      <c r="C1504" s="178">
        <v>0</v>
      </c>
      <c r="D1504" s="178">
        <v>0</v>
      </c>
      <c r="E1504" s="178">
        <v>0</v>
      </c>
      <c r="F1504" s="178">
        <v>0</v>
      </c>
      <c r="G1504" s="178">
        <v>0</v>
      </c>
      <c r="H1504" s="178">
        <v>0</v>
      </c>
      <c r="I1504" s="178">
        <v>0</v>
      </c>
      <c r="J1504" s="178" t="s">
        <v>497</v>
      </c>
    </row>
    <row r="1505" spans="1:10">
      <c r="A1505" s="178">
        <v>720</v>
      </c>
      <c r="B1505" s="178" t="s">
        <v>603</v>
      </c>
      <c r="C1505" s="178">
        <v>1000</v>
      </c>
      <c r="D1505" s="178">
        <v>1000</v>
      </c>
      <c r="E1505" s="178">
        <v>0</v>
      </c>
      <c r="F1505" s="178">
        <v>0</v>
      </c>
      <c r="G1505" s="178">
        <v>0</v>
      </c>
      <c r="H1505" s="178">
        <v>1000</v>
      </c>
      <c r="I1505" s="178">
        <v>1000</v>
      </c>
      <c r="J1505" s="178" t="s">
        <v>497</v>
      </c>
    </row>
    <row r="1506" spans="1:10">
      <c r="A1506" s="178">
        <v>730</v>
      </c>
      <c r="B1506" s="178" t="s">
        <v>604</v>
      </c>
      <c r="C1506" s="178">
        <v>0</v>
      </c>
      <c r="D1506" s="178">
        <v>0</v>
      </c>
      <c r="E1506" s="178">
        <v>0</v>
      </c>
      <c r="F1506" s="178">
        <v>0</v>
      </c>
      <c r="G1506" s="178">
        <v>0</v>
      </c>
      <c r="H1506" s="178">
        <v>0</v>
      </c>
      <c r="I1506" s="178">
        <v>0</v>
      </c>
      <c r="J1506" s="178" t="s">
        <v>497</v>
      </c>
    </row>
    <row r="1507" spans="1:10">
      <c r="A1507" s="178">
        <v>740</v>
      </c>
      <c r="B1507" s="178" t="s">
        <v>605</v>
      </c>
      <c r="C1507" s="178">
        <v>232692.95</v>
      </c>
      <c r="D1507" s="178">
        <v>207788</v>
      </c>
      <c r="E1507" s="178">
        <v>24904.95</v>
      </c>
      <c r="F1507" s="178">
        <v>0</v>
      </c>
      <c r="G1507" s="178">
        <v>0</v>
      </c>
      <c r="H1507" s="178">
        <v>-3841.27</v>
      </c>
      <c r="I1507" s="178">
        <v>232692.95</v>
      </c>
      <c r="J1507" s="178" t="s">
        <v>497</v>
      </c>
    </row>
    <row r="1508" spans="1:10">
      <c r="A1508" s="178">
        <v>750</v>
      </c>
      <c r="B1508" s="178" t="s">
        <v>474</v>
      </c>
      <c r="C1508" s="178">
        <v>27258.08</v>
      </c>
      <c r="D1508" s="178">
        <v>-16255</v>
      </c>
      <c r="E1508" s="178">
        <v>43513.08</v>
      </c>
      <c r="F1508" s="178">
        <v>27258.08</v>
      </c>
      <c r="G1508" s="178">
        <v>27258.08</v>
      </c>
      <c r="H1508" s="178">
        <v>236534.22</v>
      </c>
      <c r="I1508" s="178">
        <v>0</v>
      </c>
      <c r="J1508" s="178" t="s">
        <v>497</v>
      </c>
    </row>
    <row r="1509" spans="1:10">
      <c r="A1509" s="178">
        <v>760</v>
      </c>
      <c r="B1509" s="178" t="s">
        <v>606</v>
      </c>
      <c r="C1509" s="178">
        <v>4000</v>
      </c>
      <c r="D1509" s="178">
        <v>0</v>
      </c>
      <c r="E1509" s="178">
        <v>4000</v>
      </c>
      <c r="F1509" s="178">
        <v>0</v>
      </c>
      <c r="G1509" s="178">
        <v>0</v>
      </c>
      <c r="H1509" s="178">
        <v>4000</v>
      </c>
      <c r="I1509" s="178">
        <v>4000</v>
      </c>
      <c r="J1509" s="178" t="s">
        <v>497</v>
      </c>
    </row>
    <row r="1510" spans="1:10">
      <c r="A1510" s="178">
        <v>770</v>
      </c>
      <c r="B1510" s="178"/>
      <c r="C1510" s="178">
        <v>0</v>
      </c>
      <c r="D1510" s="178">
        <v>0</v>
      </c>
      <c r="E1510" s="178">
        <v>0</v>
      </c>
      <c r="F1510" s="178">
        <v>0</v>
      </c>
      <c r="G1510" s="178">
        <v>0</v>
      </c>
      <c r="H1510" s="178">
        <v>0</v>
      </c>
      <c r="I1510" s="178">
        <v>0</v>
      </c>
      <c r="J1510" s="178" t="s">
        <v>497</v>
      </c>
    </row>
    <row r="1511" spans="1:10">
      <c r="A1511" s="178">
        <v>800</v>
      </c>
      <c r="B1511" s="178" t="s">
        <v>607</v>
      </c>
      <c r="C1511" s="178">
        <v>264951.03</v>
      </c>
      <c r="D1511" s="178">
        <v>192533</v>
      </c>
      <c r="E1511" s="178">
        <v>72418.03</v>
      </c>
      <c r="F1511" s="178">
        <v>27258.08</v>
      </c>
      <c r="G1511" s="178">
        <v>27258.08</v>
      </c>
      <c r="H1511" s="178">
        <v>237692.95</v>
      </c>
      <c r="I1511" s="178">
        <v>237692.95</v>
      </c>
      <c r="J1511" s="178" t="s">
        <v>497</v>
      </c>
    </row>
    <row r="1512" spans="1:10">
      <c r="A1512" s="178">
        <v>900</v>
      </c>
      <c r="B1512" s="178" t="s">
        <v>608</v>
      </c>
      <c r="C1512" s="178">
        <v>665504.82</v>
      </c>
      <c r="D1512" s="178">
        <v>596355</v>
      </c>
      <c r="E1512" s="178">
        <v>69149.82</v>
      </c>
      <c r="F1512" s="178">
        <v>38070.77</v>
      </c>
      <c r="G1512" s="178">
        <v>38070.77</v>
      </c>
      <c r="H1512" s="178">
        <v>627434.05</v>
      </c>
      <c r="I1512" s="178">
        <v>627434.05</v>
      </c>
      <c r="J1512" s="178" t="s">
        <v>497</v>
      </c>
    </row>
    <row r="1513" spans="1:10">
      <c r="A1513" s="178">
        <v>1000</v>
      </c>
      <c r="B1513" s="178" t="s">
        <v>559</v>
      </c>
      <c r="C1513" s="178">
        <v>0</v>
      </c>
      <c r="D1513" s="178">
        <v>2779</v>
      </c>
      <c r="E1513" s="178">
        <v>-2779</v>
      </c>
      <c r="F1513" s="178">
        <v>0</v>
      </c>
      <c r="G1513" s="178">
        <v>0</v>
      </c>
      <c r="H1513" s="178">
        <v>0</v>
      </c>
      <c r="I1513" s="178">
        <v>0</v>
      </c>
      <c r="J1513" s="178" t="s">
        <v>497</v>
      </c>
    </row>
    <row r="1514" spans="1:10">
      <c r="A1514" s="178" t="s">
        <v>486</v>
      </c>
      <c r="B1514" s="178" t="s">
        <v>402</v>
      </c>
      <c r="C1514" s="178" t="s">
        <v>538</v>
      </c>
      <c r="D1514" s="178" t="s">
        <v>539</v>
      </c>
      <c r="E1514" s="178" t="s">
        <v>540</v>
      </c>
      <c r="F1514" s="178" t="s">
        <v>541</v>
      </c>
      <c r="G1514" s="178" t="s">
        <v>542</v>
      </c>
      <c r="H1514" s="178" t="s">
        <v>543</v>
      </c>
      <c r="I1514" s="178" t="s">
        <v>544</v>
      </c>
      <c r="J1514" s="178" t="s">
        <v>405</v>
      </c>
    </row>
    <row r="1515" spans="1:10">
      <c r="A1515" s="178">
        <v>10</v>
      </c>
      <c r="B1515" s="178" t="s">
        <v>545</v>
      </c>
      <c r="C1515" s="178">
        <v>0</v>
      </c>
      <c r="D1515" s="178">
        <v>0</v>
      </c>
      <c r="E1515" s="178">
        <v>0</v>
      </c>
      <c r="F1515" s="178">
        <v>0</v>
      </c>
      <c r="G1515" s="178">
        <v>0</v>
      </c>
      <c r="H1515" s="178">
        <v>0</v>
      </c>
      <c r="I1515" s="178">
        <v>0</v>
      </c>
      <c r="J1515" s="178" t="s">
        <v>497</v>
      </c>
    </row>
    <row r="1516" spans="1:10">
      <c r="A1516" s="178">
        <v>20</v>
      </c>
      <c r="B1516" s="178" t="s">
        <v>563</v>
      </c>
      <c r="C1516" s="178">
        <v>3744.01</v>
      </c>
      <c r="D1516" s="178">
        <v>0</v>
      </c>
      <c r="E1516" s="178">
        <v>3744.01</v>
      </c>
      <c r="F1516" s="178">
        <v>-40516.25</v>
      </c>
      <c r="G1516" s="178">
        <v>-40516.25</v>
      </c>
      <c r="H1516" s="178">
        <v>44260.26</v>
      </c>
      <c r="I1516" s="178">
        <v>44260.26</v>
      </c>
      <c r="J1516" s="178" t="s">
        <v>497</v>
      </c>
    </row>
    <row r="1517" spans="1:10">
      <c r="A1517" s="178">
        <v>30</v>
      </c>
      <c r="B1517" s="178" t="s">
        <v>564</v>
      </c>
      <c r="C1517" s="178">
        <v>0</v>
      </c>
      <c r="D1517" s="178">
        <v>0</v>
      </c>
      <c r="E1517" s="178">
        <v>0</v>
      </c>
      <c r="F1517" s="178">
        <v>0</v>
      </c>
      <c r="G1517" s="178">
        <v>0</v>
      </c>
      <c r="H1517" s="178">
        <v>0</v>
      </c>
      <c r="I1517" s="178">
        <v>0</v>
      </c>
      <c r="J1517" s="178" t="s">
        <v>497</v>
      </c>
    </row>
    <row r="1518" spans="1:10">
      <c r="A1518" s="178">
        <v>40</v>
      </c>
      <c r="B1518" s="178" t="s">
        <v>565</v>
      </c>
      <c r="C1518" s="178">
        <v>30000</v>
      </c>
      <c r="D1518" s="178">
        <v>0</v>
      </c>
      <c r="E1518" s="178">
        <v>30000</v>
      </c>
      <c r="F1518" s="178">
        <v>0</v>
      </c>
      <c r="G1518" s="178">
        <v>0</v>
      </c>
      <c r="H1518" s="178">
        <v>30000</v>
      </c>
      <c r="I1518" s="178">
        <v>30000</v>
      </c>
      <c r="J1518" s="178" t="s">
        <v>497</v>
      </c>
    </row>
    <row r="1519" spans="1:10">
      <c r="A1519" s="178">
        <v>50</v>
      </c>
      <c r="B1519" s="178" t="s">
        <v>566</v>
      </c>
      <c r="C1519" s="178">
        <v>0</v>
      </c>
      <c r="D1519" s="178">
        <v>0</v>
      </c>
      <c r="E1519" s="178">
        <v>0</v>
      </c>
      <c r="F1519" s="178">
        <v>0</v>
      </c>
      <c r="G1519" s="178">
        <v>0</v>
      </c>
      <c r="H1519" s="178">
        <v>0</v>
      </c>
      <c r="I1519" s="178">
        <v>0</v>
      </c>
      <c r="J1519" s="178" t="s">
        <v>497</v>
      </c>
    </row>
    <row r="1520" spans="1:10">
      <c r="A1520" s="178">
        <v>60</v>
      </c>
      <c r="B1520" s="178" t="s">
        <v>268</v>
      </c>
      <c r="C1520" s="178">
        <v>0</v>
      </c>
      <c r="D1520" s="178">
        <v>0</v>
      </c>
      <c r="E1520" s="178">
        <v>0</v>
      </c>
      <c r="F1520" s="178">
        <v>0</v>
      </c>
      <c r="G1520" s="178">
        <v>0</v>
      </c>
      <c r="H1520" s="178">
        <v>0</v>
      </c>
      <c r="I1520" s="178">
        <v>0</v>
      </c>
      <c r="J1520" s="178" t="s">
        <v>497</v>
      </c>
    </row>
    <row r="1521" spans="1:10">
      <c r="A1521" s="178">
        <v>70</v>
      </c>
      <c r="B1521" s="178" t="s">
        <v>567</v>
      </c>
      <c r="C1521" s="178">
        <v>55119.57</v>
      </c>
      <c r="D1521" s="178">
        <v>0</v>
      </c>
      <c r="E1521" s="178">
        <v>55119.57</v>
      </c>
      <c r="F1521" s="178">
        <v>-611.11</v>
      </c>
      <c r="G1521" s="178">
        <v>-611.11</v>
      </c>
      <c r="H1521" s="178">
        <v>55730.68</v>
      </c>
      <c r="I1521" s="178">
        <v>55730.68</v>
      </c>
      <c r="J1521" s="178" t="s">
        <v>497</v>
      </c>
    </row>
    <row r="1522" spans="1:10">
      <c r="A1522" s="178">
        <v>80</v>
      </c>
      <c r="B1522" s="178" t="s">
        <v>568</v>
      </c>
      <c r="C1522" s="178">
        <v>3296893.57</v>
      </c>
      <c r="D1522" s="178">
        <v>0</v>
      </c>
      <c r="E1522" s="178">
        <v>3296893.57</v>
      </c>
      <c r="F1522" s="178">
        <v>431375</v>
      </c>
      <c r="G1522" s="178">
        <v>431375</v>
      </c>
      <c r="H1522" s="178">
        <v>2865518.57</v>
      </c>
      <c r="I1522" s="178">
        <v>2865518.57</v>
      </c>
      <c r="J1522" s="178" t="s">
        <v>497</v>
      </c>
    </row>
    <row r="1523" spans="1:10">
      <c r="A1523" s="178">
        <v>100</v>
      </c>
      <c r="B1523" s="178" t="s">
        <v>569</v>
      </c>
      <c r="C1523" s="178">
        <v>3385757.15</v>
      </c>
      <c r="D1523" s="178">
        <v>0</v>
      </c>
      <c r="E1523" s="178">
        <v>3385757.15</v>
      </c>
      <c r="F1523" s="178">
        <v>390247.64</v>
      </c>
      <c r="G1523" s="178">
        <v>390247.64</v>
      </c>
      <c r="H1523" s="178">
        <v>2995509.51</v>
      </c>
      <c r="I1523" s="178">
        <v>2995509.51</v>
      </c>
      <c r="J1523" s="178" t="s">
        <v>497</v>
      </c>
    </row>
    <row r="1524" spans="1:10">
      <c r="A1524" s="178">
        <v>110</v>
      </c>
      <c r="B1524" s="178" t="s">
        <v>570</v>
      </c>
      <c r="C1524" s="178">
        <v>0</v>
      </c>
      <c r="D1524" s="178">
        <v>0</v>
      </c>
      <c r="E1524" s="178">
        <v>0</v>
      </c>
      <c r="F1524" s="178">
        <v>0</v>
      </c>
      <c r="G1524" s="178">
        <v>0</v>
      </c>
      <c r="H1524" s="178">
        <v>0</v>
      </c>
      <c r="I1524" s="178">
        <v>0</v>
      </c>
      <c r="J1524" s="178" t="s">
        <v>497</v>
      </c>
    </row>
    <row r="1525" spans="1:10">
      <c r="A1525" s="178">
        <v>120</v>
      </c>
      <c r="B1525" s="178" t="s">
        <v>571</v>
      </c>
      <c r="C1525" s="178">
        <v>320037</v>
      </c>
      <c r="D1525" s="178">
        <v>0</v>
      </c>
      <c r="E1525" s="178">
        <v>320037</v>
      </c>
      <c r="F1525" s="178">
        <v>0</v>
      </c>
      <c r="G1525" s="178">
        <v>0</v>
      </c>
      <c r="H1525" s="178">
        <v>320037</v>
      </c>
      <c r="I1525" s="178">
        <v>320037</v>
      </c>
      <c r="J1525" s="178" t="s">
        <v>497</v>
      </c>
    </row>
    <row r="1526" spans="1:10">
      <c r="A1526" s="178">
        <v>130</v>
      </c>
      <c r="B1526" s="178" t="s">
        <v>572</v>
      </c>
      <c r="C1526" s="178">
        <v>1122489.4</v>
      </c>
      <c r="D1526" s="178">
        <v>0</v>
      </c>
      <c r="E1526" s="178">
        <v>1122489.4</v>
      </c>
      <c r="F1526" s="178">
        <v>0</v>
      </c>
      <c r="G1526" s="178">
        <v>0</v>
      </c>
      <c r="H1526" s="178">
        <v>1122489.4</v>
      </c>
      <c r="I1526" s="178">
        <v>1122489.4</v>
      </c>
      <c r="J1526" s="178" t="s">
        <v>497</v>
      </c>
    </row>
    <row r="1527" spans="1:10">
      <c r="A1527" s="178">
        <v>140</v>
      </c>
      <c r="B1527" s="178" t="s">
        <v>573</v>
      </c>
      <c r="C1527" s="178">
        <v>0</v>
      </c>
      <c r="D1527" s="178">
        <v>0</v>
      </c>
      <c r="E1527" s="178">
        <v>0</v>
      </c>
      <c r="F1527" s="178">
        <v>0</v>
      </c>
      <c r="G1527" s="178">
        <v>0</v>
      </c>
      <c r="H1527" s="178">
        <v>0</v>
      </c>
      <c r="I1527" s="178">
        <v>0</v>
      </c>
      <c r="J1527" s="178" t="s">
        <v>497</v>
      </c>
    </row>
    <row r="1528" spans="1:10">
      <c r="A1528" s="178">
        <v>150</v>
      </c>
      <c r="B1528" s="178" t="s">
        <v>574</v>
      </c>
      <c r="C1528" s="178">
        <v>0</v>
      </c>
      <c r="D1528" s="178">
        <v>0</v>
      </c>
      <c r="E1528" s="178">
        <v>0</v>
      </c>
      <c r="F1528" s="178">
        <v>0</v>
      </c>
      <c r="G1528" s="178">
        <v>0</v>
      </c>
      <c r="H1528" s="178">
        <v>0</v>
      </c>
      <c r="I1528" s="178">
        <v>0</v>
      </c>
      <c r="J1528" s="178" t="s">
        <v>497</v>
      </c>
    </row>
    <row r="1529" spans="1:10">
      <c r="A1529" s="178">
        <v>160</v>
      </c>
      <c r="B1529" s="178" t="s">
        <v>575</v>
      </c>
      <c r="C1529" s="178">
        <v>0</v>
      </c>
      <c r="D1529" s="178">
        <v>0</v>
      </c>
      <c r="E1529" s="178">
        <v>0</v>
      </c>
      <c r="F1529" s="178">
        <v>0</v>
      </c>
      <c r="G1529" s="178">
        <v>0</v>
      </c>
      <c r="H1529" s="178">
        <v>0</v>
      </c>
      <c r="I1529" s="178">
        <v>0</v>
      </c>
      <c r="J1529" s="178" t="s">
        <v>497</v>
      </c>
    </row>
    <row r="1530" spans="1:10">
      <c r="A1530" s="178">
        <v>170</v>
      </c>
      <c r="B1530" s="178" t="s">
        <v>576</v>
      </c>
      <c r="C1530" s="178">
        <v>0</v>
      </c>
      <c r="D1530" s="178">
        <v>0</v>
      </c>
      <c r="E1530" s="178">
        <v>0</v>
      </c>
      <c r="F1530" s="178">
        <v>0</v>
      </c>
      <c r="G1530" s="178">
        <v>0</v>
      </c>
      <c r="H1530" s="178">
        <v>0</v>
      </c>
      <c r="I1530" s="178">
        <v>0</v>
      </c>
      <c r="J1530" s="178" t="s">
        <v>497</v>
      </c>
    </row>
    <row r="1531" spans="1:10">
      <c r="A1531" s="178">
        <v>180</v>
      </c>
      <c r="B1531" s="178" t="s">
        <v>577</v>
      </c>
      <c r="C1531" s="178">
        <v>0</v>
      </c>
      <c r="D1531" s="178">
        <v>0</v>
      </c>
      <c r="E1531" s="178">
        <v>0</v>
      </c>
      <c r="F1531" s="178">
        <v>0</v>
      </c>
      <c r="G1531" s="178">
        <v>0</v>
      </c>
      <c r="H1531" s="178">
        <v>0</v>
      </c>
      <c r="I1531" s="178">
        <v>0</v>
      </c>
      <c r="J1531" s="178" t="s">
        <v>497</v>
      </c>
    </row>
    <row r="1532" spans="1:10">
      <c r="A1532" s="178">
        <v>190</v>
      </c>
      <c r="B1532" s="178" t="s">
        <v>578</v>
      </c>
      <c r="C1532" s="178">
        <v>-128487.56</v>
      </c>
      <c r="D1532" s="178">
        <v>0</v>
      </c>
      <c r="E1532" s="178">
        <v>-128487.56</v>
      </c>
      <c r="F1532" s="178">
        <v>-2809.12</v>
      </c>
      <c r="G1532" s="178">
        <v>-2809.12</v>
      </c>
      <c r="H1532" s="178">
        <v>-125678.44</v>
      </c>
      <c r="I1532" s="178">
        <v>-125678.44</v>
      </c>
      <c r="J1532" s="178" t="s">
        <v>497</v>
      </c>
    </row>
    <row r="1533" spans="1:10">
      <c r="A1533" s="178">
        <v>200</v>
      </c>
      <c r="B1533" s="178" t="s">
        <v>579</v>
      </c>
      <c r="C1533" s="178">
        <v>1314038.84</v>
      </c>
      <c r="D1533" s="178">
        <v>0</v>
      </c>
      <c r="E1533" s="178">
        <v>1314038.84</v>
      </c>
      <c r="F1533" s="178">
        <v>-2809.12</v>
      </c>
      <c r="G1533" s="178">
        <v>-2809.12</v>
      </c>
      <c r="H1533" s="178">
        <v>1316847.96</v>
      </c>
      <c r="I1533" s="178">
        <v>1316847.96</v>
      </c>
      <c r="J1533" s="178" t="s">
        <v>497</v>
      </c>
    </row>
    <row r="1534" spans="1:10">
      <c r="A1534" s="178">
        <v>210</v>
      </c>
      <c r="B1534" s="178" t="s">
        <v>580</v>
      </c>
      <c r="C1534" s="178">
        <v>0</v>
      </c>
      <c r="D1534" s="178">
        <v>0</v>
      </c>
      <c r="E1534" s="178">
        <v>0</v>
      </c>
      <c r="F1534" s="178">
        <v>0</v>
      </c>
      <c r="G1534" s="178">
        <v>0</v>
      </c>
      <c r="H1534" s="178">
        <v>0</v>
      </c>
      <c r="I1534" s="178">
        <v>0</v>
      </c>
      <c r="J1534" s="178" t="s">
        <v>497</v>
      </c>
    </row>
    <row r="1535" spans="1:10">
      <c r="A1535" s="178">
        <v>220</v>
      </c>
      <c r="B1535" s="178" t="s">
        <v>581</v>
      </c>
      <c r="C1535" s="178">
        <v>400</v>
      </c>
      <c r="D1535" s="178">
        <v>0</v>
      </c>
      <c r="E1535" s="178">
        <v>400</v>
      </c>
      <c r="F1535" s="178">
        <v>0</v>
      </c>
      <c r="G1535" s="178">
        <v>0</v>
      </c>
      <c r="H1535" s="178">
        <v>400</v>
      </c>
      <c r="I1535" s="178">
        <v>400</v>
      </c>
      <c r="J1535" s="178" t="s">
        <v>497</v>
      </c>
    </row>
    <row r="1536" spans="1:10">
      <c r="A1536" s="178">
        <v>230</v>
      </c>
      <c r="B1536" s="178" t="s">
        <v>582</v>
      </c>
      <c r="C1536" s="178">
        <v>0</v>
      </c>
      <c r="D1536" s="178">
        <v>0</v>
      </c>
      <c r="E1536" s="178">
        <v>0</v>
      </c>
      <c r="F1536" s="178">
        <v>0</v>
      </c>
      <c r="G1536" s="178">
        <v>0</v>
      </c>
      <c r="H1536" s="178">
        <v>0</v>
      </c>
      <c r="I1536" s="178">
        <v>0</v>
      </c>
      <c r="J1536" s="178" t="s">
        <v>497</v>
      </c>
    </row>
    <row r="1537" spans="1:10">
      <c r="A1537" s="178">
        <v>240</v>
      </c>
      <c r="B1537" s="178" t="s">
        <v>583</v>
      </c>
      <c r="C1537" s="178">
        <v>-2461</v>
      </c>
      <c r="D1537" s="178">
        <v>0</v>
      </c>
      <c r="E1537" s="178">
        <v>-2461</v>
      </c>
      <c r="F1537" s="178">
        <v>0</v>
      </c>
      <c r="G1537" s="178">
        <v>0</v>
      </c>
      <c r="H1537" s="178">
        <v>-2461</v>
      </c>
      <c r="I1537" s="178">
        <v>-2461</v>
      </c>
      <c r="J1537" s="178" t="s">
        <v>497</v>
      </c>
    </row>
    <row r="1538" spans="1:10">
      <c r="A1538" s="178">
        <v>250</v>
      </c>
      <c r="B1538" s="178" t="s">
        <v>584</v>
      </c>
      <c r="C1538" s="178">
        <v>-2061</v>
      </c>
      <c r="D1538" s="178">
        <v>0</v>
      </c>
      <c r="E1538" s="178">
        <v>-2061</v>
      </c>
      <c r="F1538" s="178">
        <v>0</v>
      </c>
      <c r="G1538" s="178">
        <v>0</v>
      </c>
      <c r="H1538" s="178">
        <v>-2061</v>
      </c>
      <c r="I1538" s="178">
        <v>-2061</v>
      </c>
      <c r="J1538" s="178" t="s">
        <v>497</v>
      </c>
    </row>
    <row r="1539" spans="1:10">
      <c r="A1539" s="178">
        <v>260</v>
      </c>
      <c r="B1539" s="178" t="s">
        <v>585</v>
      </c>
      <c r="C1539" s="178">
        <v>0</v>
      </c>
      <c r="D1539" s="178">
        <v>0</v>
      </c>
      <c r="E1539" s="178">
        <v>0</v>
      </c>
      <c r="F1539" s="178">
        <v>0</v>
      </c>
      <c r="G1539" s="178">
        <v>0</v>
      </c>
      <c r="H1539" s="178">
        <v>0</v>
      </c>
      <c r="I1539" s="178">
        <v>0</v>
      </c>
      <c r="J1539" s="178" t="s">
        <v>497</v>
      </c>
    </row>
    <row r="1540" spans="1:10">
      <c r="A1540" s="178">
        <v>270</v>
      </c>
      <c r="B1540" s="178" t="s">
        <v>586</v>
      </c>
      <c r="C1540" s="178">
        <v>0</v>
      </c>
      <c r="D1540" s="178">
        <v>0</v>
      </c>
      <c r="E1540" s="178">
        <v>0</v>
      </c>
      <c r="F1540" s="178">
        <v>0</v>
      </c>
      <c r="G1540" s="178">
        <v>0</v>
      </c>
      <c r="H1540" s="178">
        <v>0</v>
      </c>
      <c r="I1540" s="178">
        <v>0</v>
      </c>
      <c r="J1540" s="178" t="s">
        <v>497</v>
      </c>
    </row>
    <row r="1541" spans="1:10">
      <c r="A1541" s="178">
        <v>280</v>
      </c>
      <c r="B1541" s="178" t="s">
        <v>587</v>
      </c>
      <c r="C1541" s="178">
        <v>0</v>
      </c>
      <c r="D1541" s="178">
        <v>0</v>
      </c>
      <c r="E1541" s="178">
        <v>0</v>
      </c>
      <c r="F1541" s="178">
        <v>0</v>
      </c>
      <c r="G1541" s="178">
        <v>0</v>
      </c>
      <c r="H1541" s="178">
        <v>0</v>
      </c>
      <c r="I1541" s="178">
        <v>0</v>
      </c>
      <c r="J1541" s="178" t="s">
        <v>497</v>
      </c>
    </row>
    <row r="1542" spans="1:10">
      <c r="A1542" s="178">
        <v>400</v>
      </c>
      <c r="B1542" s="178" t="s">
        <v>588</v>
      </c>
      <c r="C1542" s="178">
        <v>4697734.99</v>
      </c>
      <c r="D1542" s="178">
        <v>0</v>
      </c>
      <c r="E1542" s="178">
        <v>4697734.99</v>
      </c>
      <c r="F1542" s="178">
        <v>387438.52</v>
      </c>
      <c r="G1542" s="178">
        <v>387438.52</v>
      </c>
      <c r="H1542" s="178">
        <v>4310296.47</v>
      </c>
      <c r="I1542" s="178">
        <v>4310296.47</v>
      </c>
      <c r="J1542" s="178" t="s">
        <v>497</v>
      </c>
    </row>
    <row r="1543" spans="1:10">
      <c r="A1543" s="178">
        <v>410</v>
      </c>
      <c r="B1543" s="178" t="s">
        <v>589</v>
      </c>
      <c r="C1543" s="178">
        <v>0</v>
      </c>
      <c r="D1543" s="178">
        <v>0</v>
      </c>
      <c r="E1543" s="178">
        <v>0</v>
      </c>
      <c r="F1543" s="178">
        <v>0</v>
      </c>
      <c r="G1543" s="178">
        <v>0</v>
      </c>
      <c r="H1543" s="178">
        <v>0</v>
      </c>
      <c r="I1543" s="178">
        <v>0</v>
      </c>
      <c r="J1543" s="178" t="s">
        <v>497</v>
      </c>
    </row>
    <row r="1544" spans="1:10">
      <c r="A1544" s="178">
        <v>420</v>
      </c>
      <c r="B1544" s="178" t="s">
        <v>590</v>
      </c>
      <c r="C1544" s="178">
        <v>0</v>
      </c>
      <c r="D1544" s="178">
        <v>0</v>
      </c>
      <c r="E1544" s="178">
        <v>0</v>
      </c>
      <c r="F1544" s="178">
        <v>0</v>
      </c>
      <c r="G1544" s="178">
        <v>0</v>
      </c>
      <c r="H1544" s="178">
        <v>0</v>
      </c>
      <c r="I1544" s="178">
        <v>0</v>
      </c>
      <c r="J1544" s="178" t="s">
        <v>497</v>
      </c>
    </row>
    <row r="1545" spans="1:10">
      <c r="A1545" s="178">
        <v>430</v>
      </c>
      <c r="B1545" s="178" t="s">
        <v>591</v>
      </c>
      <c r="C1545" s="178">
        <v>0</v>
      </c>
      <c r="D1545" s="178">
        <v>0</v>
      </c>
      <c r="E1545" s="178">
        <v>0</v>
      </c>
      <c r="F1545" s="178">
        <v>0</v>
      </c>
      <c r="G1545" s="178">
        <v>0</v>
      </c>
      <c r="H1545" s="178">
        <v>0</v>
      </c>
      <c r="I1545" s="178">
        <v>0</v>
      </c>
      <c r="J1545" s="178" t="s">
        <v>497</v>
      </c>
    </row>
    <row r="1546" spans="1:10">
      <c r="A1546" s="178">
        <v>440</v>
      </c>
      <c r="B1546" s="178" t="s">
        <v>592</v>
      </c>
      <c r="C1546" s="178">
        <v>0</v>
      </c>
      <c r="D1546" s="178">
        <v>0</v>
      </c>
      <c r="E1546" s="178">
        <v>0</v>
      </c>
      <c r="F1546" s="178">
        <v>0</v>
      </c>
      <c r="G1546" s="178">
        <v>0</v>
      </c>
      <c r="H1546" s="178">
        <v>0</v>
      </c>
      <c r="I1546" s="178">
        <v>0</v>
      </c>
      <c r="J1546" s="178" t="s">
        <v>497</v>
      </c>
    </row>
    <row r="1547" spans="1:10">
      <c r="A1547" s="178">
        <v>450</v>
      </c>
      <c r="B1547" s="178" t="s">
        <v>593</v>
      </c>
      <c r="C1547" s="178">
        <v>1552916.67</v>
      </c>
      <c r="D1547" s="178">
        <v>0</v>
      </c>
      <c r="E1547" s="178">
        <v>1552916.67</v>
      </c>
      <c r="F1547" s="178">
        <v>-19087.22</v>
      </c>
      <c r="G1547" s="178">
        <v>-19087.22</v>
      </c>
      <c r="H1547" s="178">
        <v>1572003.89</v>
      </c>
      <c r="I1547" s="178">
        <v>1572003.89</v>
      </c>
      <c r="J1547" s="178" t="s">
        <v>497</v>
      </c>
    </row>
    <row r="1548" spans="1:10">
      <c r="A1548" s="178">
        <v>460</v>
      </c>
      <c r="B1548" s="178" t="s">
        <v>594</v>
      </c>
      <c r="C1548" s="178">
        <v>0</v>
      </c>
      <c r="D1548" s="178">
        <v>0</v>
      </c>
      <c r="E1548" s="178">
        <v>0</v>
      </c>
      <c r="F1548" s="178">
        <v>0</v>
      </c>
      <c r="G1548" s="178">
        <v>0</v>
      </c>
      <c r="H1548" s="178">
        <v>0</v>
      </c>
      <c r="I1548" s="178">
        <v>0</v>
      </c>
      <c r="J1548" s="178" t="s">
        <v>497</v>
      </c>
    </row>
    <row r="1549" spans="1:10">
      <c r="A1549" s="178">
        <v>500</v>
      </c>
      <c r="B1549" s="178" t="s">
        <v>595</v>
      </c>
      <c r="C1549" s="178">
        <v>1552916.67</v>
      </c>
      <c r="D1549" s="178">
        <v>0</v>
      </c>
      <c r="E1549" s="178">
        <v>1552916.67</v>
      </c>
      <c r="F1549" s="178">
        <v>-19087.22</v>
      </c>
      <c r="G1549" s="178">
        <v>-19087.22</v>
      </c>
      <c r="H1549" s="178">
        <v>1572003.89</v>
      </c>
      <c r="I1549" s="178">
        <v>1572003.89</v>
      </c>
      <c r="J1549" s="178" t="s">
        <v>497</v>
      </c>
    </row>
    <row r="1550" spans="1:10">
      <c r="A1550" s="178">
        <v>510</v>
      </c>
      <c r="B1550" s="178" t="s">
        <v>596</v>
      </c>
      <c r="C1550" s="178">
        <v>0</v>
      </c>
      <c r="D1550" s="178">
        <v>0</v>
      </c>
      <c r="E1550" s="178">
        <v>0</v>
      </c>
      <c r="F1550" s="178">
        <v>0</v>
      </c>
      <c r="G1550" s="178">
        <v>0</v>
      </c>
      <c r="H1550" s="178">
        <v>0</v>
      </c>
      <c r="I1550" s="178">
        <v>0</v>
      </c>
      <c r="J1550" s="178" t="s">
        <v>497</v>
      </c>
    </row>
    <row r="1551" spans="1:10">
      <c r="A1551" s="178">
        <v>520</v>
      </c>
      <c r="B1551" s="178" t="s">
        <v>597</v>
      </c>
      <c r="C1551" s="178">
        <v>0</v>
      </c>
      <c r="D1551" s="178">
        <v>0</v>
      </c>
      <c r="E1551" s="178">
        <v>0</v>
      </c>
      <c r="F1551" s="178">
        <v>0</v>
      </c>
      <c r="G1551" s="178">
        <v>0</v>
      </c>
      <c r="H1551" s="178">
        <v>0</v>
      </c>
      <c r="I1551" s="178">
        <v>0</v>
      </c>
      <c r="J1551" s="178" t="s">
        <v>497</v>
      </c>
    </row>
    <row r="1552" spans="1:10">
      <c r="A1552" s="178">
        <v>530</v>
      </c>
      <c r="B1552" s="178" t="s">
        <v>598</v>
      </c>
      <c r="C1552" s="178">
        <v>2192825.78</v>
      </c>
      <c r="D1552" s="178">
        <v>0</v>
      </c>
      <c r="E1552" s="178">
        <v>2192825.78</v>
      </c>
      <c r="F1552" s="178">
        <v>392224.9</v>
      </c>
      <c r="G1552" s="178">
        <v>392224.9</v>
      </c>
      <c r="H1552" s="178">
        <v>1800600.88</v>
      </c>
      <c r="I1552" s="178">
        <v>1800600.88</v>
      </c>
      <c r="J1552" s="178" t="s">
        <v>497</v>
      </c>
    </row>
    <row r="1553" spans="1:10">
      <c r="A1553" s="178">
        <v>540</v>
      </c>
      <c r="B1553" s="178" t="s">
        <v>599</v>
      </c>
      <c r="C1553" s="178">
        <v>0</v>
      </c>
      <c r="D1553" s="178">
        <v>0</v>
      </c>
      <c r="E1553" s="178">
        <v>0</v>
      </c>
      <c r="F1553" s="178">
        <v>0</v>
      </c>
      <c r="G1553" s="178">
        <v>0</v>
      </c>
      <c r="H1553" s="178">
        <v>0</v>
      </c>
      <c r="I1553" s="178">
        <v>0</v>
      </c>
      <c r="J1553" s="178" t="s">
        <v>497</v>
      </c>
    </row>
    <row r="1554" spans="1:10">
      <c r="A1554" s="178">
        <v>600</v>
      </c>
      <c r="B1554" s="178" t="s">
        <v>600</v>
      </c>
      <c r="C1554" s="178">
        <v>2192825.78</v>
      </c>
      <c r="D1554" s="178">
        <v>0</v>
      </c>
      <c r="E1554" s="178">
        <v>2192825.78</v>
      </c>
      <c r="F1554" s="178">
        <v>392224.9</v>
      </c>
      <c r="G1554" s="178">
        <v>392224.9</v>
      </c>
      <c r="H1554" s="178">
        <v>1800600.88</v>
      </c>
      <c r="I1554" s="178">
        <v>1800600.88</v>
      </c>
      <c r="J1554" s="178" t="s">
        <v>497</v>
      </c>
    </row>
    <row r="1555" spans="1:10">
      <c r="A1555" s="178">
        <v>610</v>
      </c>
      <c r="B1555" s="178" t="s">
        <v>601</v>
      </c>
      <c r="C1555" s="178">
        <v>0</v>
      </c>
      <c r="D1555" s="178">
        <v>0</v>
      </c>
      <c r="E1555" s="178">
        <v>0</v>
      </c>
      <c r="F1555" s="178">
        <v>0</v>
      </c>
      <c r="G1555" s="178">
        <v>0</v>
      </c>
      <c r="H1555" s="178">
        <v>0</v>
      </c>
      <c r="I1555" s="178">
        <v>0</v>
      </c>
      <c r="J1555" s="178" t="s">
        <v>497</v>
      </c>
    </row>
    <row r="1556" spans="1:10">
      <c r="A1556" s="178">
        <v>620</v>
      </c>
      <c r="B1556" s="178"/>
      <c r="C1556" s="178">
        <v>0</v>
      </c>
      <c r="D1556" s="178">
        <v>0</v>
      </c>
      <c r="E1556" s="178">
        <v>0</v>
      </c>
      <c r="F1556" s="178">
        <v>0</v>
      </c>
      <c r="G1556" s="178">
        <v>0</v>
      </c>
      <c r="H1556" s="178">
        <v>0</v>
      </c>
      <c r="I1556" s="178">
        <v>0</v>
      </c>
      <c r="J1556" s="178" t="s">
        <v>497</v>
      </c>
    </row>
    <row r="1557" spans="1:10">
      <c r="A1557" s="178">
        <v>700</v>
      </c>
      <c r="B1557" s="178" t="s">
        <v>602</v>
      </c>
      <c r="C1557" s="178">
        <v>0</v>
      </c>
      <c r="D1557" s="178">
        <v>0</v>
      </c>
      <c r="E1557" s="178">
        <v>0</v>
      </c>
      <c r="F1557" s="178">
        <v>0</v>
      </c>
      <c r="G1557" s="178">
        <v>0</v>
      </c>
      <c r="H1557" s="178">
        <v>0</v>
      </c>
      <c r="I1557" s="178">
        <v>0</v>
      </c>
      <c r="J1557" s="178" t="s">
        <v>497</v>
      </c>
    </row>
    <row r="1558" spans="1:10">
      <c r="A1558" s="178">
        <v>710</v>
      </c>
      <c r="B1558" s="178" t="s">
        <v>558</v>
      </c>
      <c r="C1558" s="178">
        <v>0</v>
      </c>
      <c r="D1558" s="178">
        <v>0</v>
      </c>
      <c r="E1558" s="178">
        <v>0</v>
      </c>
      <c r="F1558" s="178">
        <v>0</v>
      </c>
      <c r="G1558" s="178">
        <v>0</v>
      </c>
      <c r="H1558" s="178">
        <v>0</v>
      </c>
      <c r="I1558" s="178">
        <v>0</v>
      </c>
      <c r="J1558" s="178" t="s">
        <v>497</v>
      </c>
    </row>
    <row r="1559" spans="1:10">
      <c r="A1559" s="178">
        <v>720</v>
      </c>
      <c r="B1559" s="178" t="s">
        <v>603</v>
      </c>
      <c r="C1559" s="178">
        <v>0</v>
      </c>
      <c r="D1559" s="178">
        <v>0</v>
      </c>
      <c r="E1559" s="178">
        <v>0</v>
      </c>
      <c r="F1559" s="178">
        <v>0</v>
      </c>
      <c r="G1559" s="178">
        <v>0</v>
      </c>
      <c r="H1559" s="178">
        <v>0</v>
      </c>
      <c r="I1559" s="178">
        <v>0</v>
      </c>
      <c r="J1559" s="178" t="s">
        <v>497</v>
      </c>
    </row>
    <row r="1560" spans="1:10">
      <c r="A1560" s="178">
        <v>730</v>
      </c>
      <c r="B1560" s="178" t="s">
        <v>604</v>
      </c>
      <c r="C1560" s="178">
        <v>0</v>
      </c>
      <c r="D1560" s="178">
        <v>0</v>
      </c>
      <c r="E1560" s="178">
        <v>0</v>
      </c>
      <c r="F1560" s="178">
        <v>0</v>
      </c>
      <c r="G1560" s="178">
        <v>0</v>
      </c>
      <c r="H1560" s="178">
        <v>0</v>
      </c>
      <c r="I1560" s="178">
        <v>0</v>
      </c>
      <c r="J1560" s="178" t="s">
        <v>497</v>
      </c>
    </row>
    <row r="1561" spans="1:10">
      <c r="A1561" s="178">
        <v>740</v>
      </c>
      <c r="B1561" s="178" t="s">
        <v>605</v>
      </c>
      <c r="C1561" s="178">
        <v>1735082.39</v>
      </c>
      <c r="D1561" s="178">
        <v>0</v>
      </c>
      <c r="E1561" s="178">
        <v>1735082.39</v>
      </c>
      <c r="F1561" s="178">
        <v>0</v>
      </c>
      <c r="G1561" s="178">
        <v>0</v>
      </c>
      <c r="H1561" s="178">
        <v>1612989.72</v>
      </c>
      <c r="I1561" s="178">
        <v>1735082.39</v>
      </c>
      <c r="J1561" s="178" t="s">
        <v>497</v>
      </c>
    </row>
    <row r="1562" spans="1:10">
      <c r="A1562" s="178">
        <v>750</v>
      </c>
      <c r="B1562" s="178" t="s">
        <v>474</v>
      </c>
      <c r="C1562" s="178">
        <v>14300.84</v>
      </c>
      <c r="D1562" s="178">
        <v>0</v>
      </c>
      <c r="E1562" s="178">
        <v>14300.84</v>
      </c>
      <c r="F1562" s="178">
        <v>14300.84</v>
      </c>
      <c r="G1562" s="178">
        <v>14300.84</v>
      </c>
      <c r="H1562" s="178">
        <v>122092.67</v>
      </c>
      <c r="I1562" s="178">
        <v>0</v>
      </c>
      <c r="J1562" s="178" t="s">
        <v>497</v>
      </c>
    </row>
    <row r="1563" spans="1:10">
      <c r="A1563" s="178">
        <v>760</v>
      </c>
      <c r="B1563" s="178" t="s">
        <v>606</v>
      </c>
      <c r="C1563" s="178">
        <v>-797390.69</v>
      </c>
      <c r="D1563" s="178">
        <v>0</v>
      </c>
      <c r="E1563" s="178">
        <v>-797390.69</v>
      </c>
      <c r="F1563" s="178">
        <v>0</v>
      </c>
      <c r="G1563" s="178">
        <v>0</v>
      </c>
      <c r="H1563" s="178">
        <v>-797390.69</v>
      </c>
      <c r="I1563" s="178">
        <v>-797390.69</v>
      </c>
      <c r="J1563" s="178" t="s">
        <v>497</v>
      </c>
    </row>
    <row r="1564" spans="1:10">
      <c r="A1564" s="178">
        <v>770</v>
      </c>
      <c r="B1564" s="178"/>
      <c r="C1564" s="178">
        <v>0</v>
      </c>
      <c r="D1564" s="178">
        <v>0</v>
      </c>
      <c r="E1564" s="178">
        <v>0</v>
      </c>
      <c r="F1564" s="178">
        <v>0</v>
      </c>
      <c r="G1564" s="178">
        <v>0</v>
      </c>
      <c r="H1564" s="178">
        <v>0</v>
      </c>
      <c r="I1564" s="178">
        <v>0</v>
      </c>
      <c r="J1564" s="178" t="s">
        <v>497</v>
      </c>
    </row>
    <row r="1565" spans="1:10">
      <c r="A1565" s="178">
        <v>800</v>
      </c>
      <c r="B1565" s="178" t="s">
        <v>607</v>
      </c>
      <c r="C1565" s="178">
        <v>951992.54</v>
      </c>
      <c r="D1565" s="178">
        <v>0</v>
      </c>
      <c r="E1565" s="178">
        <v>951992.54</v>
      </c>
      <c r="F1565" s="178">
        <v>14300.84</v>
      </c>
      <c r="G1565" s="178">
        <v>14300.84</v>
      </c>
      <c r="H1565" s="178">
        <v>937691.7</v>
      </c>
      <c r="I1565" s="178">
        <v>937691.7</v>
      </c>
      <c r="J1565" s="178" t="s">
        <v>497</v>
      </c>
    </row>
    <row r="1566" spans="1:10">
      <c r="A1566" s="178">
        <v>900</v>
      </c>
      <c r="B1566" s="178" t="s">
        <v>608</v>
      </c>
      <c r="C1566" s="178">
        <v>4697734.99</v>
      </c>
      <c r="D1566" s="178">
        <v>0</v>
      </c>
      <c r="E1566" s="178">
        <v>4697734.99</v>
      </c>
      <c r="F1566" s="178">
        <v>387438.52</v>
      </c>
      <c r="G1566" s="178">
        <v>387438.52</v>
      </c>
      <c r="H1566" s="178">
        <v>4310296.47</v>
      </c>
      <c r="I1566" s="178">
        <v>4310296.47</v>
      </c>
      <c r="J1566" s="178" t="s">
        <v>497</v>
      </c>
    </row>
    <row r="1567" spans="1:10">
      <c r="A1567" s="178">
        <v>1000</v>
      </c>
      <c r="B1567" s="178" t="s">
        <v>559</v>
      </c>
      <c r="C1567" s="178">
        <v>0</v>
      </c>
      <c r="D1567" s="178">
        <v>0</v>
      </c>
      <c r="E1567" s="178">
        <v>0</v>
      </c>
      <c r="F1567" s="178">
        <v>0</v>
      </c>
      <c r="G1567" s="178">
        <v>0</v>
      </c>
      <c r="H1567" s="178">
        <v>0</v>
      </c>
      <c r="I1567" s="178">
        <v>0</v>
      </c>
      <c r="J1567" s="178" t="s">
        <v>497</v>
      </c>
    </row>
    <row r="1568" spans="1:10">
      <c r="A1568" s="178" t="s">
        <v>487</v>
      </c>
      <c r="B1568" s="178" t="s">
        <v>402</v>
      </c>
      <c r="C1568" s="178" t="s">
        <v>538</v>
      </c>
      <c r="D1568" s="178" t="s">
        <v>539</v>
      </c>
      <c r="E1568" s="178" t="s">
        <v>540</v>
      </c>
      <c r="F1568" s="178" t="s">
        <v>541</v>
      </c>
      <c r="G1568" s="178" t="s">
        <v>542</v>
      </c>
      <c r="H1568" s="178" t="s">
        <v>543</v>
      </c>
      <c r="I1568" s="178" t="s">
        <v>544</v>
      </c>
      <c r="J1568" s="178" t="s">
        <v>405</v>
      </c>
    </row>
    <row r="1569" spans="1:10">
      <c r="A1569" s="178">
        <v>10</v>
      </c>
      <c r="B1569" s="178" t="s">
        <v>545</v>
      </c>
      <c r="C1569" s="178">
        <v>0</v>
      </c>
      <c r="D1569" s="178">
        <v>0</v>
      </c>
      <c r="E1569" s="178">
        <v>0</v>
      </c>
      <c r="F1569" s="178">
        <v>0</v>
      </c>
      <c r="G1569" s="178">
        <v>0</v>
      </c>
      <c r="H1569" s="178">
        <v>0</v>
      </c>
      <c r="I1569" s="178">
        <v>0</v>
      </c>
      <c r="J1569" s="178" t="s">
        <v>497</v>
      </c>
    </row>
    <row r="1570" spans="1:10">
      <c r="A1570" s="178">
        <v>20</v>
      </c>
      <c r="B1570" s="178" t="s">
        <v>563</v>
      </c>
      <c r="C1570" s="178">
        <v>587.97</v>
      </c>
      <c r="D1570" s="178">
        <v>0</v>
      </c>
      <c r="E1570" s="178">
        <v>587.97</v>
      </c>
      <c r="F1570" s="178">
        <v>2559.61</v>
      </c>
      <c r="G1570" s="178">
        <v>2559.61</v>
      </c>
      <c r="H1570" s="178">
        <v>-1971.64</v>
      </c>
      <c r="I1570" s="178">
        <v>-1971.64</v>
      </c>
      <c r="J1570" s="178" t="s">
        <v>497</v>
      </c>
    </row>
    <row r="1571" spans="1:10">
      <c r="A1571" s="178">
        <v>30</v>
      </c>
      <c r="B1571" s="178" t="s">
        <v>564</v>
      </c>
      <c r="C1571" s="178">
        <v>0</v>
      </c>
      <c r="D1571" s="178">
        <v>0</v>
      </c>
      <c r="E1571" s="178">
        <v>0</v>
      </c>
      <c r="F1571" s="178">
        <v>0</v>
      </c>
      <c r="G1571" s="178">
        <v>0</v>
      </c>
      <c r="H1571" s="178">
        <v>0</v>
      </c>
      <c r="I1571" s="178">
        <v>0</v>
      </c>
      <c r="J1571" s="178" t="s">
        <v>497</v>
      </c>
    </row>
    <row r="1572" spans="1:10">
      <c r="A1572" s="178">
        <v>40</v>
      </c>
      <c r="B1572" s="178" t="s">
        <v>565</v>
      </c>
      <c r="C1572" s="178">
        <v>0</v>
      </c>
      <c r="D1572" s="178">
        <v>0</v>
      </c>
      <c r="E1572" s="178">
        <v>0</v>
      </c>
      <c r="F1572" s="178">
        <v>0</v>
      </c>
      <c r="G1572" s="178">
        <v>0</v>
      </c>
      <c r="H1572" s="178">
        <v>0</v>
      </c>
      <c r="I1572" s="178">
        <v>0</v>
      </c>
      <c r="J1572" s="178" t="s">
        <v>497</v>
      </c>
    </row>
    <row r="1573" spans="1:10">
      <c r="A1573" s="178">
        <v>50</v>
      </c>
      <c r="B1573" s="178" t="s">
        <v>566</v>
      </c>
      <c r="C1573" s="178">
        <v>892191.76</v>
      </c>
      <c r="D1573" s="178">
        <v>0</v>
      </c>
      <c r="E1573" s="178">
        <v>892191.76</v>
      </c>
      <c r="F1573" s="178">
        <v>-5000</v>
      </c>
      <c r="G1573" s="178">
        <v>-5000</v>
      </c>
      <c r="H1573" s="178">
        <v>897191.76</v>
      </c>
      <c r="I1573" s="178">
        <v>897191.76</v>
      </c>
      <c r="J1573" s="178" t="s">
        <v>497</v>
      </c>
    </row>
    <row r="1574" spans="1:10">
      <c r="A1574" s="178">
        <v>60</v>
      </c>
      <c r="B1574" s="178" t="s">
        <v>268</v>
      </c>
      <c r="C1574" s="178">
        <v>0</v>
      </c>
      <c r="D1574" s="178">
        <v>0</v>
      </c>
      <c r="E1574" s="178">
        <v>0</v>
      </c>
      <c r="F1574" s="178">
        <v>0</v>
      </c>
      <c r="G1574" s="178">
        <v>0</v>
      </c>
      <c r="H1574" s="178">
        <v>0</v>
      </c>
      <c r="I1574" s="178">
        <v>0</v>
      </c>
      <c r="J1574" s="178" t="s">
        <v>497</v>
      </c>
    </row>
    <row r="1575" spans="1:10">
      <c r="A1575" s="178">
        <v>70</v>
      </c>
      <c r="B1575" s="178" t="s">
        <v>567</v>
      </c>
      <c r="C1575" s="178">
        <v>462</v>
      </c>
      <c r="D1575" s="178">
        <v>0</v>
      </c>
      <c r="E1575" s="178">
        <v>462</v>
      </c>
      <c r="F1575" s="178">
        <v>0</v>
      </c>
      <c r="G1575" s="178">
        <v>0</v>
      </c>
      <c r="H1575" s="178">
        <v>462</v>
      </c>
      <c r="I1575" s="178">
        <v>462</v>
      </c>
      <c r="J1575" s="178" t="s">
        <v>497</v>
      </c>
    </row>
    <row r="1576" spans="1:10">
      <c r="A1576" s="178">
        <v>80</v>
      </c>
      <c r="B1576" s="178" t="s">
        <v>568</v>
      </c>
      <c r="C1576" s="178">
        <v>0</v>
      </c>
      <c r="D1576" s="178">
        <v>0</v>
      </c>
      <c r="E1576" s="178">
        <v>0</v>
      </c>
      <c r="F1576" s="178">
        <v>0</v>
      </c>
      <c r="G1576" s="178">
        <v>0</v>
      </c>
      <c r="H1576" s="178">
        <v>0</v>
      </c>
      <c r="I1576" s="178">
        <v>0</v>
      </c>
      <c r="J1576" s="178" t="s">
        <v>497</v>
      </c>
    </row>
    <row r="1577" spans="1:10">
      <c r="A1577" s="178">
        <v>100</v>
      </c>
      <c r="B1577" s="178" t="s">
        <v>569</v>
      </c>
      <c r="C1577" s="178">
        <v>893241.73</v>
      </c>
      <c r="D1577" s="178">
        <v>0</v>
      </c>
      <c r="E1577" s="178">
        <v>893241.73</v>
      </c>
      <c r="F1577" s="178">
        <v>-2440.39</v>
      </c>
      <c r="G1577" s="178">
        <v>-2440.39</v>
      </c>
      <c r="H1577" s="178">
        <v>895682.12</v>
      </c>
      <c r="I1577" s="178">
        <v>895682.12</v>
      </c>
      <c r="J1577" s="178" t="s">
        <v>497</v>
      </c>
    </row>
    <row r="1578" spans="1:10">
      <c r="A1578" s="178">
        <v>110</v>
      </c>
      <c r="B1578" s="178" t="s">
        <v>570</v>
      </c>
      <c r="C1578" s="178">
        <v>0</v>
      </c>
      <c r="D1578" s="178">
        <v>0</v>
      </c>
      <c r="E1578" s="178">
        <v>0</v>
      </c>
      <c r="F1578" s="178">
        <v>0</v>
      </c>
      <c r="G1578" s="178">
        <v>0</v>
      </c>
      <c r="H1578" s="178">
        <v>0</v>
      </c>
      <c r="I1578" s="178">
        <v>0</v>
      </c>
      <c r="J1578" s="178" t="s">
        <v>497</v>
      </c>
    </row>
    <row r="1579" spans="1:10">
      <c r="A1579" s="178">
        <v>120</v>
      </c>
      <c r="B1579" s="178" t="s">
        <v>571</v>
      </c>
      <c r="C1579" s="178">
        <v>420443.5</v>
      </c>
      <c r="D1579" s="178">
        <v>0</v>
      </c>
      <c r="E1579" s="178">
        <v>420443.5</v>
      </c>
      <c r="F1579" s="178">
        <v>0</v>
      </c>
      <c r="G1579" s="178">
        <v>0</v>
      </c>
      <c r="H1579" s="178">
        <v>420443.5</v>
      </c>
      <c r="I1579" s="178">
        <v>420443.5</v>
      </c>
      <c r="J1579" s="178" t="s">
        <v>497</v>
      </c>
    </row>
    <row r="1580" spans="1:10">
      <c r="A1580" s="178">
        <v>130</v>
      </c>
      <c r="B1580" s="178" t="s">
        <v>572</v>
      </c>
      <c r="C1580" s="178">
        <v>0</v>
      </c>
      <c r="D1580" s="178">
        <v>0</v>
      </c>
      <c r="E1580" s="178">
        <v>0</v>
      </c>
      <c r="F1580" s="178">
        <v>0</v>
      </c>
      <c r="G1580" s="178">
        <v>0</v>
      </c>
      <c r="H1580" s="178">
        <v>0</v>
      </c>
      <c r="I1580" s="178">
        <v>0</v>
      </c>
      <c r="J1580" s="178" t="s">
        <v>497</v>
      </c>
    </row>
    <row r="1581" spans="1:10">
      <c r="A1581" s="178">
        <v>140</v>
      </c>
      <c r="B1581" s="178" t="s">
        <v>573</v>
      </c>
      <c r="C1581" s="178">
        <v>0</v>
      </c>
      <c r="D1581" s="178">
        <v>0</v>
      </c>
      <c r="E1581" s="178">
        <v>0</v>
      </c>
      <c r="F1581" s="178">
        <v>0</v>
      </c>
      <c r="G1581" s="178">
        <v>0</v>
      </c>
      <c r="H1581" s="178">
        <v>0</v>
      </c>
      <c r="I1581" s="178">
        <v>0</v>
      </c>
      <c r="J1581" s="178" t="s">
        <v>497</v>
      </c>
    </row>
    <row r="1582" spans="1:10">
      <c r="A1582" s="178">
        <v>150</v>
      </c>
      <c r="B1582" s="178" t="s">
        <v>574</v>
      </c>
      <c r="C1582" s="178">
        <v>0</v>
      </c>
      <c r="D1582" s="178">
        <v>0</v>
      </c>
      <c r="E1582" s="178">
        <v>0</v>
      </c>
      <c r="F1582" s="178">
        <v>0</v>
      </c>
      <c r="G1582" s="178">
        <v>0</v>
      </c>
      <c r="H1582" s="178">
        <v>0</v>
      </c>
      <c r="I1582" s="178">
        <v>0</v>
      </c>
      <c r="J1582" s="178" t="s">
        <v>497</v>
      </c>
    </row>
    <row r="1583" spans="1:10">
      <c r="A1583" s="178">
        <v>160</v>
      </c>
      <c r="B1583" s="178" t="s">
        <v>575</v>
      </c>
      <c r="C1583" s="178">
        <v>0</v>
      </c>
      <c r="D1583" s="178">
        <v>0</v>
      </c>
      <c r="E1583" s="178">
        <v>0</v>
      </c>
      <c r="F1583" s="178">
        <v>0</v>
      </c>
      <c r="G1583" s="178">
        <v>0</v>
      </c>
      <c r="H1583" s="178">
        <v>0</v>
      </c>
      <c r="I1583" s="178">
        <v>0</v>
      </c>
      <c r="J1583" s="178" t="s">
        <v>497</v>
      </c>
    </row>
    <row r="1584" spans="1:10">
      <c r="A1584" s="178">
        <v>170</v>
      </c>
      <c r="B1584" s="178" t="s">
        <v>576</v>
      </c>
      <c r="C1584" s="178">
        <v>0</v>
      </c>
      <c r="D1584" s="178">
        <v>0</v>
      </c>
      <c r="E1584" s="178">
        <v>0</v>
      </c>
      <c r="F1584" s="178">
        <v>0</v>
      </c>
      <c r="G1584" s="178">
        <v>0</v>
      </c>
      <c r="H1584" s="178">
        <v>0</v>
      </c>
      <c r="I1584" s="178">
        <v>0</v>
      </c>
      <c r="J1584" s="178" t="s">
        <v>497</v>
      </c>
    </row>
    <row r="1585" spans="1:10">
      <c r="A1585" s="178">
        <v>180</v>
      </c>
      <c r="B1585" s="178" t="s">
        <v>577</v>
      </c>
      <c r="C1585" s="178">
        <v>0</v>
      </c>
      <c r="D1585" s="178">
        <v>0</v>
      </c>
      <c r="E1585" s="178">
        <v>0</v>
      </c>
      <c r="F1585" s="178">
        <v>0</v>
      </c>
      <c r="G1585" s="178">
        <v>0</v>
      </c>
      <c r="H1585" s="178">
        <v>0</v>
      </c>
      <c r="I1585" s="178">
        <v>0</v>
      </c>
      <c r="J1585" s="178" t="s">
        <v>497</v>
      </c>
    </row>
    <row r="1586" spans="1:10">
      <c r="A1586" s="178">
        <v>190</v>
      </c>
      <c r="B1586" s="178" t="s">
        <v>578</v>
      </c>
      <c r="C1586" s="178">
        <v>0</v>
      </c>
      <c r="D1586" s="178">
        <v>0</v>
      </c>
      <c r="E1586" s="178">
        <v>0</v>
      </c>
      <c r="F1586" s="178">
        <v>0</v>
      </c>
      <c r="G1586" s="178">
        <v>0</v>
      </c>
      <c r="H1586" s="178">
        <v>0</v>
      </c>
      <c r="I1586" s="178">
        <v>0</v>
      </c>
      <c r="J1586" s="178" t="s">
        <v>497</v>
      </c>
    </row>
    <row r="1587" spans="1:10">
      <c r="A1587" s="178">
        <v>200</v>
      </c>
      <c r="B1587" s="178" t="s">
        <v>579</v>
      </c>
      <c r="C1587" s="178">
        <v>420443.5</v>
      </c>
      <c r="D1587" s="178">
        <v>0</v>
      </c>
      <c r="E1587" s="178">
        <v>420443.5</v>
      </c>
      <c r="F1587" s="178">
        <v>0</v>
      </c>
      <c r="G1587" s="178">
        <v>0</v>
      </c>
      <c r="H1587" s="178">
        <v>420443.5</v>
      </c>
      <c r="I1587" s="178">
        <v>420443.5</v>
      </c>
      <c r="J1587" s="178" t="s">
        <v>497</v>
      </c>
    </row>
    <row r="1588" spans="1:10">
      <c r="A1588" s="178">
        <v>210</v>
      </c>
      <c r="B1588" s="178" t="s">
        <v>580</v>
      </c>
      <c r="C1588" s="178">
        <v>0</v>
      </c>
      <c r="D1588" s="178">
        <v>0</v>
      </c>
      <c r="E1588" s="178">
        <v>0</v>
      </c>
      <c r="F1588" s="178">
        <v>0</v>
      </c>
      <c r="G1588" s="178">
        <v>0</v>
      </c>
      <c r="H1588" s="178">
        <v>0</v>
      </c>
      <c r="I1588" s="178">
        <v>0</v>
      </c>
      <c r="J1588" s="178" t="s">
        <v>497</v>
      </c>
    </row>
    <row r="1589" spans="1:10">
      <c r="A1589" s="178">
        <v>220</v>
      </c>
      <c r="B1589" s="178" t="s">
        <v>581</v>
      </c>
      <c r="C1589" s="178">
        <v>0</v>
      </c>
      <c r="D1589" s="178">
        <v>0</v>
      </c>
      <c r="E1589" s="178">
        <v>0</v>
      </c>
      <c r="F1589" s="178">
        <v>0</v>
      </c>
      <c r="G1589" s="178">
        <v>0</v>
      </c>
      <c r="H1589" s="178">
        <v>0</v>
      </c>
      <c r="I1589" s="178">
        <v>0</v>
      </c>
      <c r="J1589" s="178" t="s">
        <v>497</v>
      </c>
    </row>
    <row r="1590" spans="1:10">
      <c r="A1590" s="178">
        <v>230</v>
      </c>
      <c r="B1590" s="178" t="s">
        <v>582</v>
      </c>
      <c r="C1590" s="178">
        <v>0</v>
      </c>
      <c r="D1590" s="178">
        <v>0</v>
      </c>
      <c r="E1590" s="178">
        <v>0</v>
      </c>
      <c r="F1590" s="178">
        <v>0</v>
      </c>
      <c r="G1590" s="178">
        <v>0</v>
      </c>
      <c r="H1590" s="178">
        <v>0</v>
      </c>
      <c r="I1590" s="178">
        <v>0</v>
      </c>
      <c r="J1590" s="178" t="s">
        <v>497</v>
      </c>
    </row>
    <row r="1591" spans="1:10">
      <c r="A1591" s="178">
        <v>240</v>
      </c>
      <c r="B1591" s="178" t="s">
        <v>583</v>
      </c>
      <c r="C1591" s="178">
        <v>0</v>
      </c>
      <c r="D1591" s="178">
        <v>0</v>
      </c>
      <c r="E1591" s="178">
        <v>0</v>
      </c>
      <c r="F1591" s="178">
        <v>0</v>
      </c>
      <c r="G1591" s="178">
        <v>0</v>
      </c>
      <c r="H1591" s="178">
        <v>0</v>
      </c>
      <c r="I1591" s="178">
        <v>0</v>
      </c>
      <c r="J1591" s="178" t="s">
        <v>497</v>
      </c>
    </row>
    <row r="1592" spans="1:10">
      <c r="A1592" s="178">
        <v>250</v>
      </c>
      <c r="B1592" s="178" t="s">
        <v>584</v>
      </c>
      <c r="C1592" s="178">
        <v>0</v>
      </c>
      <c r="D1592" s="178">
        <v>0</v>
      </c>
      <c r="E1592" s="178">
        <v>0</v>
      </c>
      <c r="F1592" s="178">
        <v>0</v>
      </c>
      <c r="G1592" s="178">
        <v>0</v>
      </c>
      <c r="H1592" s="178">
        <v>0</v>
      </c>
      <c r="I1592" s="178">
        <v>0</v>
      </c>
      <c r="J1592" s="178" t="s">
        <v>497</v>
      </c>
    </row>
    <row r="1593" spans="1:10">
      <c r="A1593" s="178">
        <v>260</v>
      </c>
      <c r="B1593" s="178" t="s">
        <v>585</v>
      </c>
      <c r="C1593" s="178">
        <v>0</v>
      </c>
      <c r="D1593" s="178">
        <v>0</v>
      </c>
      <c r="E1593" s="178">
        <v>0</v>
      </c>
      <c r="F1593" s="178">
        <v>0</v>
      </c>
      <c r="G1593" s="178">
        <v>0</v>
      </c>
      <c r="H1593" s="178">
        <v>0</v>
      </c>
      <c r="I1593" s="178">
        <v>0</v>
      </c>
      <c r="J1593" s="178" t="s">
        <v>497</v>
      </c>
    </row>
    <row r="1594" spans="1:10">
      <c r="A1594" s="178">
        <v>270</v>
      </c>
      <c r="B1594" s="178" t="s">
        <v>586</v>
      </c>
      <c r="C1594" s="178">
        <v>0</v>
      </c>
      <c r="D1594" s="178">
        <v>0</v>
      </c>
      <c r="E1594" s="178">
        <v>0</v>
      </c>
      <c r="F1594" s="178">
        <v>0</v>
      </c>
      <c r="G1594" s="178">
        <v>0</v>
      </c>
      <c r="H1594" s="178">
        <v>0</v>
      </c>
      <c r="I1594" s="178">
        <v>0</v>
      </c>
      <c r="J1594" s="178" t="s">
        <v>497</v>
      </c>
    </row>
    <row r="1595" spans="1:10">
      <c r="A1595" s="178">
        <v>280</v>
      </c>
      <c r="B1595" s="178" t="s">
        <v>587</v>
      </c>
      <c r="C1595" s="178">
        <v>0</v>
      </c>
      <c r="D1595" s="178">
        <v>0</v>
      </c>
      <c r="E1595" s="178">
        <v>0</v>
      </c>
      <c r="F1595" s="178">
        <v>0</v>
      </c>
      <c r="G1595" s="178">
        <v>0</v>
      </c>
      <c r="H1595" s="178">
        <v>0</v>
      </c>
      <c r="I1595" s="178">
        <v>0</v>
      </c>
      <c r="J1595" s="178" t="s">
        <v>497</v>
      </c>
    </row>
    <row r="1596" spans="1:10">
      <c r="A1596" s="178">
        <v>400</v>
      </c>
      <c r="B1596" s="178" t="s">
        <v>588</v>
      </c>
      <c r="C1596" s="178">
        <v>1313685.23</v>
      </c>
      <c r="D1596" s="178">
        <v>0</v>
      </c>
      <c r="E1596" s="178">
        <v>1313685.23</v>
      </c>
      <c r="F1596" s="178">
        <v>-2440.39</v>
      </c>
      <c r="G1596" s="178">
        <v>-2440.39</v>
      </c>
      <c r="H1596" s="178">
        <v>1316125.62</v>
      </c>
      <c r="I1596" s="178">
        <v>1316125.62</v>
      </c>
      <c r="J1596" s="178" t="s">
        <v>497</v>
      </c>
    </row>
    <row r="1597" spans="1:10">
      <c r="A1597" s="178">
        <v>410</v>
      </c>
      <c r="B1597" s="178" t="s">
        <v>589</v>
      </c>
      <c r="C1597" s="178">
        <v>0</v>
      </c>
      <c r="D1597" s="178">
        <v>0</v>
      </c>
      <c r="E1597" s="178">
        <v>0</v>
      </c>
      <c r="F1597" s="178">
        <v>0</v>
      </c>
      <c r="G1597" s="178">
        <v>0</v>
      </c>
      <c r="H1597" s="178">
        <v>0</v>
      </c>
      <c r="I1597" s="178">
        <v>0</v>
      </c>
      <c r="J1597" s="178" t="s">
        <v>497</v>
      </c>
    </row>
    <row r="1598" spans="1:10">
      <c r="A1598" s="178">
        <v>420</v>
      </c>
      <c r="B1598" s="178" t="s">
        <v>590</v>
      </c>
      <c r="C1598" s="178">
        <v>0</v>
      </c>
      <c r="D1598" s="178">
        <v>0</v>
      </c>
      <c r="E1598" s="178">
        <v>0</v>
      </c>
      <c r="F1598" s="178">
        <v>0</v>
      </c>
      <c r="G1598" s="178">
        <v>0</v>
      </c>
      <c r="H1598" s="178">
        <v>0</v>
      </c>
      <c r="I1598" s="178">
        <v>0</v>
      </c>
      <c r="J1598" s="178" t="s">
        <v>497</v>
      </c>
    </row>
    <row r="1599" spans="1:10">
      <c r="A1599" s="178">
        <v>430</v>
      </c>
      <c r="B1599" s="178" t="s">
        <v>591</v>
      </c>
      <c r="C1599" s="178">
        <v>0</v>
      </c>
      <c r="D1599" s="178">
        <v>0</v>
      </c>
      <c r="E1599" s="178">
        <v>0</v>
      </c>
      <c r="F1599" s="178">
        <v>0</v>
      </c>
      <c r="G1599" s="178">
        <v>0</v>
      </c>
      <c r="H1599" s="178">
        <v>0</v>
      </c>
      <c r="I1599" s="178">
        <v>0</v>
      </c>
      <c r="J1599" s="178" t="s">
        <v>497</v>
      </c>
    </row>
    <row r="1600" spans="1:10">
      <c r="A1600" s="178">
        <v>440</v>
      </c>
      <c r="B1600" s="178" t="s">
        <v>592</v>
      </c>
      <c r="C1600" s="178">
        <v>0</v>
      </c>
      <c r="D1600" s="178">
        <v>0</v>
      </c>
      <c r="E1600" s="178">
        <v>0</v>
      </c>
      <c r="F1600" s="178">
        <v>0</v>
      </c>
      <c r="G1600" s="178">
        <v>0</v>
      </c>
      <c r="H1600" s="178">
        <v>0</v>
      </c>
      <c r="I1600" s="178">
        <v>0</v>
      </c>
      <c r="J1600" s="178" t="s">
        <v>497</v>
      </c>
    </row>
    <row r="1601" spans="1:10">
      <c r="A1601" s="178">
        <v>450</v>
      </c>
      <c r="B1601" s="178" t="s">
        <v>593</v>
      </c>
      <c r="C1601" s="178">
        <v>0</v>
      </c>
      <c r="D1601" s="178">
        <v>0</v>
      </c>
      <c r="E1601" s="178">
        <v>0</v>
      </c>
      <c r="F1601" s="178">
        <v>0</v>
      </c>
      <c r="G1601" s="178">
        <v>0</v>
      </c>
      <c r="H1601" s="178">
        <v>0</v>
      </c>
      <c r="I1601" s="178">
        <v>0</v>
      </c>
      <c r="J1601" s="178" t="s">
        <v>497</v>
      </c>
    </row>
    <row r="1602" spans="1:10">
      <c r="A1602" s="178">
        <v>460</v>
      </c>
      <c r="B1602" s="178" t="s">
        <v>594</v>
      </c>
      <c r="C1602" s="178">
        <v>0</v>
      </c>
      <c r="D1602" s="178">
        <v>0</v>
      </c>
      <c r="E1602" s="178">
        <v>0</v>
      </c>
      <c r="F1602" s="178">
        <v>0</v>
      </c>
      <c r="G1602" s="178">
        <v>0</v>
      </c>
      <c r="H1602" s="178">
        <v>0</v>
      </c>
      <c r="I1602" s="178">
        <v>0</v>
      </c>
      <c r="J1602" s="178" t="s">
        <v>497</v>
      </c>
    </row>
    <row r="1603" spans="1:10">
      <c r="A1603" s="178">
        <v>500</v>
      </c>
      <c r="B1603" s="178" t="s">
        <v>595</v>
      </c>
      <c r="C1603" s="178">
        <v>0</v>
      </c>
      <c r="D1603" s="178">
        <v>0</v>
      </c>
      <c r="E1603" s="178">
        <v>0</v>
      </c>
      <c r="F1603" s="178">
        <v>0</v>
      </c>
      <c r="G1603" s="178">
        <v>0</v>
      </c>
      <c r="H1603" s="178">
        <v>0</v>
      </c>
      <c r="I1603" s="178">
        <v>0</v>
      </c>
      <c r="J1603" s="178" t="s">
        <v>497</v>
      </c>
    </row>
    <row r="1604" spans="1:10">
      <c r="A1604" s="178">
        <v>510</v>
      </c>
      <c r="B1604" s="178" t="s">
        <v>596</v>
      </c>
      <c r="C1604" s="178">
        <v>0</v>
      </c>
      <c r="D1604" s="178">
        <v>0</v>
      </c>
      <c r="E1604" s="178">
        <v>0</v>
      </c>
      <c r="F1604" s="178">
        <v>0</v>
      </c>
      <c r="G1604" s="178">
        <v>0</v>
      </c>
      <c r="H1604" s="178">
        <v>0</v>
      </c>
      <c r="I1604" s="178">
        <v>0</v>
      </c>
      <c r="J1604" s="178" t="s">
        <v>497</v>
      </c>
    </row>
    <row r="1605" spans="1:10">
      <c r="A1605" s="178">
        <v>520</v>
      </c>
      <c r="B1605" s="178" t="s">
        <v>597</v>
      </c>
      <c r="C1605" s="178">
        <v>0</v>
      </c>
      <c r="D1605" s="178">
        <v>0</v>
      </c>
      <c r="E1605" s="178">
        <v>0</v>
      </c>
      <c r="F1605" s="178">
        <v>0</v>
      </c>
      <c r="G1605" s="178">
        <v>0</v>
      </c>
      <c r="H1605" s="178">
        <v>0</v>
      </c>
      <c r="I1605" s="178">
        <v>0</v>
      </c>
      <c r="J1605" s="178" t="s">
        <v>497</v>
      </c>
    </row>
    <row r="1606" spans="1:10">
      <c r="A1606" s="178">
        <v>530</v>
      </c>
      <c r="B1606" s="178" t="s">
        <v>598</v>
      </c>
      <c r="C1606" s="178">
        <v>790496.94</v>
      </c>
      <c r="D1606" s="178">
        <v>0</v>
      </c>
      <c r="E1606" s="178">
        <v>790496.94</v>
      </c>
      <c r="F1606" s="178">
        <v>-4684.79</v>
      </c>
      <c r="G1606" s="178">
        <v>-4684.79</v>
      </c>
      <c r="H1606" s="178">
        <v>795181.73</v>
      </c>
      <c r="I1606" s="178">
        <v>795181.73</v>
      </c>
      <c r="J1606" s="178" t="s">
        <v>497</v>
      </c>
    </row>
    <row r="1607" spans="1:10">
      <c r="A1607" s="178">
        <v>540</v>
      </c>
      <c r="B1607" s="178" t="s">
        <v>599</v>
      </c>
      <c r="C1607" s="178">
        <v>0</v>
      </c>
      <c r="D1607" s="178">
        <v>0</v>
      </c>
      <c r="E1607" s="178">
        <v>0</v>
      </c>
      <c r="F1607" s="178">
        <v>0</v>
      </c>
      <c r="G1607" s="178">
        <v>0</v>
      </c>
      <c r="H1607" s="178">
        <v>0</v>
      </c>
      <c r="I1607" s="178">
        <v>0</v>
      </c>
      <c r="J1607" s="178" t="s">
        <v>497</v>
      </c>
    </row>
    <row r="1608" spans="1:10">
      <c r="A1608" s="178">
        <v>600</v>
      </c>
      <c r="B1608" s="178" t="s">
        <v>600</v>
      </c>
      <c r="C1608" s="178">
        <v>790496.94</v>
      </c>
      <c r="D1608" s="178">
        <v>0</v>
      </c>
      <c r="E1608" s="178">
        <v>790496.94</v>
      </c>
      <c r="F1608" s="178">
        <v>-4684.79</v>
      </c>
      <c r="G1608" s="178">
        <v>-4684.79</v>
      </c>
      <c r="H1608" s="178">
        <v>795181.73</v>
      </c>
      <c r="I1608" s="178">
        <v>795181.73</v>
      </c>
      <c r="J1608" s="178" t="s">
        <v>497</v>
      </c>
    </row>
    <row r="1609" spans="1:10">
      <c r="A1609" s="178">
        <v>610</v>
      </c>
      <c r="B1609" s="178" t="s">
        <v>601</v>
      </c>
      <c r="C1609" s="178">
        <v>0</v>
      </c>
      <c r="D1609" s="178">
        <v>0</v>
      </c>
      <c r="E1609" s="178">
        <v>0</v>
      </c>
      <c r="F1609" s="178">
        <v>0</v>
      </c>
      <c r="G1609" s="178">
        <v>0</v>
      </c>
      <c r="H1609" s="178">
        <v>0</v>
      </c>
      <c r="I1609" s="178">
        <v>0</v>
      </c>
      <c r="J1609" s="178" t="s">
        <v>497</v>
      </c>
    </row>
    <row r="1610" spans="1:10">
      <c r="A1610" s="178">
        <v>620</v>
      </c>
      <c r="B1610" s="178"/>
      <c r="C1610" s="178">
        <v>0</v>
      </c>
      <c r="D1610" s="178">
        <v>0</v>
      </c>
      <c r="E1610" s="178">
        <v>0</v>
      </c>
      <c r="F1610" s="178">
        <v>0</v>
      </c>
      <c r="G1610" s="178">
        <v>0</v>
      </c>
      <c r="H1610" s="178">
        <v>0</v>
      </c>
      <c r="I1610" s="178">
        <v>0</v>
      </c>
      <c r="J1610" s="178" t="s">
        <v>497</v>
      </c>
    </row>
    <row r="1611" spans="1:10">
      <c r="A1611" s="178">
        <v>700</v>
      </c>
      <c r="B1611" s="178" t="s">
        <v>602</v>
      </c>
      <c r="C1611" s="178">
        <v>0</v>
      </c>
      <c r="D1611" s="178">
        <v>0</v>
      </c>
      <c r="E1611" s="178">
        <v>0</v>
      </c>
      <c r="F1611" s="178">
        <v>0</v>
      </c>
      <c r="G1611" s="178">
        <v>0</v>
      </c>
      <c r="H1611" s="178">
        <v>0</v>
      </c>
      <c r="I1611" s="178">
        <v>0</v>
      </c>
      <c r="J1611" s="178" t="s">
        <v>497</v>
      </c>
    </row>
    <row r="1612" spans="1:10">
      <c r="A1612" s="178">
        <v>710</v>
      </c>
      <c r="B1612" s="178" t="s">
        <v>558</v>
      </c>
      <c r="C1612" s="178">
        <v>0</v>
      </c>
      <c r="D1612" s="178">
        <v>0</v>
      </c>
      <c r="E1612" s="178">
        <v>0</v>
      </c>
      <c r="F1612" s="178">
        <v>0</v>
      </c>
      <c r="G1612" s="178">
        <v>0</v>
      </c>
      <c r="H1612" s="178">
        <v>0</v>
      </c>
      <c r="I1612" s="178">
        <v>0</v>
      </c>
      <c r="J1612" s="178" t="s">
        <v>497</v>
      </c>
    </row>
    <row r="1613" spans="1:10">
      <c r="A1613" s="178">
        <v>720</v>
      </c>
      <c r="B1613" s="178" t="s">
        <v>603</v>
      </c>
      <c r="C1613" s="178">
        <v>0</v>
      </c>
      <c r="D1613" s="178">
        <v>0</v>
      </c>
      <c r="E1613" s="178">
        <v>0</v>
      </c>
      <c r="F1613" s="178">
        <v>0</v>
      </c>
      <c r="G1613" s="178">
        <v>0</v>
      </c>
      <c r="H1613" s="178">
        <v>0</v>
      </c>
      <c r="I1613" s="178">
        <v>0</v>
      </c>
      <c r="J1613" s="178" t="s">
        <v>497</v>
      </c>
    </row>
    <row r="1614" spans="1:10">
      <c r="A1614" s="178">
        <v>730</v>
      </c>
      <c r="B1614" s="178" t="s">
        <v>604</v>
      </c>
      <c r="C1614" s="178">
        <v>0</v>
      </c>
      <c r="D1614" s="178">
        <v>0</v>
      </c>
      <c r="E1614" s="178">
        <v>0</v>
      </c>
      <c r="F1614" s="178">
        <v>0</v>
      </c>
      <c r="G1614" s="178">
        <v>0</v>
      </c>
      <c r="H1614" s="178">
        <v>0</v>
      </c>
      <c r="I1614" s="178">
        <v>0</v>
      </c>
      <c r="J1614" s="178" t="s">
        <v>497</v>
      </c>
    </row>
    <row r="1615" spans="1:10">
      <c r="A1615" s="178">
        <v>740</v>
      </c>
      <c r="B1615" s="178" t="s">
        <v>605</v>
      </c>
      <c r="C1615" s="178">
        <v>34349.74</v>
      </c>
      <c r="D1615" s="178">
        <v>0</v>
      </c>
      <c r="E1615" s="178">
        <v>34349.74</v>
      </c>
      <c r="F1615" s="178">
        <v>0</v>
      </c>
      <c r="G1615" s="178">
        <v>0</v>
      </c>
      <c r="H1615" s="178">
        <v>10267.33</v>
      </c>
      <c r="I1615" s="178">
        <v>34349.74</v>
      </c>
      <c r="J1615" s="178" t="s">
        <v>497</v>
      </c>
    </row>
    <row r="1616" spans="1:10">
      <c r="A1616" s="178">
        <v>750</v>
      </c>
      <c r="B1616" s="178" t="s">
        <v>474</v>
      </c>
      <c r="C1616" s="178">
        <v>2244.4</v>
      </c>
      <c r="D1616" s="178">
        <v>0</v>
      </c>
      <c r="E1616" s="178">
        <v>2244.4</v>
      </c>
      <c r="F1616" s="178">
        <v>2244.4</v>
      </c>
      <c r="G1616" s="178">
        <v>2244.4</v>
      </c>
      <c r="H1616" s="178">
        <v>24082.41</v>
      </c>
      <c r="I1616" s="178">
        <v>0</v>
      </c>
      <c r="J1616" s="178" t="s">
        <v>497</v>
      </c>
    </row>
    <row r="1617" spans="1:10">
      <c r="A1617" s="178">
        <v>760</v>
      </c>
      <c r="B1617" s="178" t="s">
        <v>606</v>
      </c>
      <c r="C1617" s="178">
        <v>486594.15</v>
      </c>
      <c r="D1617" s="178">
        <v>0</v>
      </c>
      <c r="E1617" s="178">
        <v>486594.15</v>
      </c>
      <c r="F1617" s="178">
        <v>0</v>
      </c>
      <c r="G1617" s="178">
        <v>0</v>
      </c>
      <c r="H1617" s="178">
        <v>486594.15</v>
      </c>
      <c r="I1617" s="178">
        <v>486594.15</v>
      </c>
      <c r="J1617" s="178" t="s">
        <v>497</v>
      </c>
    </row>
    <row r="1618" spans="1:10">
      <c r="A1618" s="178">
        <v>770</v>
      </c>
      <c r="B1618" s="178"/>
      <c r="C1618" s="178">
        <v>0</v>
      </c>
      <c r="D1618" s="178">
        <v>0</v>
      </c>
      <c r="E1618" s="178">
        <v>0</v>
      </c>
      <c r="F1618" s="178">
        <v>0</v>
      </c>
      <c r="G1618" s="178">
        <v>0</v>
      </c>
      <c r="H1618" s="178">
        <v>0</v>
      </c>
      <c r="I1618" s="178">
        <v>0</v>
      </c>
      <c r="J1618" s="178" t="s">
        <v>497</v>
      </c>
    </row>
    <row r="1619" spans="1:10">
      <c r="A1619" s="178">
        <v>800</v>
      </c>
      <c r="B1619" s="178" t="s">
        <v>607</v>
      </c>
      <c r="C1619" s="178">
        <v>523188.29</v>
      </c>
      <c r="D1619" s="178">
        <v>0</v>
      </c>
      <c r="E1619" s="178">
        <v>523188.29</v>
      </c>
      <c r="F1619" s="178">
        <v>2244.4</v>
      </c>
      <c r="G1619" s="178">
        <v>2244.4</v>
      </c>
      <c r="H1619" s="178">
        <v>520943.89</v>
      </c>
      <c r="I1619" s="178">
        <v>520943.89</v>
      </c>
      <c r="J1619" s="178" t="s">
        <v>497</v>
      </c>
    </row>
    <row r="1620" spans="1:10">
      <c r="A1620" s="178">
        <v>900</v>
      </c>
      <c r="B1620" s="178" t="s">
        <v>608</v>
      </c>
      <c r="C1620" s="178">
        <v>1313685.23</v>
      </c>
      <c r="D1620" s="178">
        <v>0</v>
      </c>
      <c r="E1620" s="178">
        <v>1313685.23</v>
      </c>
      <c r="F1620" s="178">
        <v>-2440.39</v>
      </c>
      <c r="G1620" s="178">
        <v>-2440.39</v>
      </c>
      <c r="H1620" s="178">
        <v>1316125.62</v>
      </c>
      <c r="I1620" s="178">
        <v>1316125.62</v>
      </c>
      <c r="J1620" s="178" t="s">
        <v>497</v>
      </c>
    </row>
    <row r="1621" spans="1:10">
      <c r="A1621" s="178">
        <v>1000</v>
      </c>
      <c r="B1621" s="178" t="s">
        <v>559</v>
      </c>
      <c r="C1621" s="178">
        <v>0</v>
      </c>
      <c r="D1621" s="178">
        <v>0</v>
      </c>
      <c r="E1621" s="178">
        <v>0</v>
      </c>
      <c r="F1621" s="178">
        <v>0</v>
      </c>
      <c r="G1621" s="178">
        <v>0</v>
      </c>
      <c r="H1621" s="178">
        <v>0</v>
      </c>
      <c r="I1621" s="178">
        <v>0</v>
      </c>
      <c r="J1621" s="178" t="s">
        <v>497</v>
      </c>
    </row>
    <row r="1622" spans="1:10">
      <c r="A1622" s="178" t="s">
        <v>488</v>
      </c>
      <c r="B1622" s="178" t="s">
        <v>402</v>
      </c>
      <c r="C1622" s="178" t="s">
        <v>538</v>
      </c>
      <c r="D1622" s="178" t="s">
        <v>539</v>
      </c>
      <c r="E1622" s="178" t="s">
        <v>540</v>
      </c>
      <c r="F1622" s="178" t="s">
        <v>541</v>
      </c>
      <c r="G1622" s="178" t="s">
        <v>542</v>
      </c>
      <c r="H1622" s="178" t="s">
        <v>543</v>
      </c>
      <c r="I1622" s="178" t="s">
        <v>544</v>
      </c>
      <c r="J1622" s="178" t="s">
        <v>405</v>
      </c>
    </row>
    <row r="1623" spans="1:10">
      <c r="A1623" s="178">
        <v>10</v>
      </c>
      <c r="B1623" s="178" t="s">
        <v>545</v>
      </c>
      <c r="C1623" s="178">
        <v>0</v>
      </c>
      <c r="D1623" s="178">
        <v>0</v>
      </c>
      <c r="E1623" s="178">
        <v>0</v>
      </c>
      <c r="F1623" s="178">
        <v>0</v>
      </c>
      <c r="G1623" s="178">
        <v>0</v>
      </c>
      <c r="H1623" s="178">
        <v>0</v>
      </c>
      <c r="I1623" s="178">
        <v>0</v>
      </c>
      <c r="J1623" s="178" t="s">
        <v>497</v>
      </c>
    </row>
    <row r="1624" spans="1:10">
      <c r="A1624" s="178">
        <v>20</v>
      </c>
      <c r="B1624" s="178" t="s">
        <v>563</v>
      </c>
      <c r="C1624" s="178">
        <v>5367.68</v>
      </c>
      <c r="D1624" s="178">
        <v>0</v>
      </c>
      <c r="E1624" s="178">
        <v>5367.68</v>
      </c>
      <c r="F1624" s="178">
        <v>-10</v>
      </c>
      <c r="G1624" s="178">
        <v>-10</v>
      </c>
      <c r="H1624" s="178">
        <v>5377.68</v>
      </c>
      <c r="I1624" s="178">
        <v>5377.68</v>
      </c>
      <c r="J1624" s="178" t="s">
        <v>497</v>
      </c>
    </row>
    <row r="1625" spans="1:10">
      <c r="A1625" s="178">
        <v>30</v>
      </c>
      <c r="B1625" s="178" t="s">
        <v>564</v>
      </c>
      <c r="C1625" s="178">
        <v>0</v>
      </c>
      <c r="D1625" s="178">
        <v>0</v>
      </c>
      <c r="E1625" s="178">
        <v>0</v>
      </c>
      <c r="F1625" s="178">
        <v>0</v>
      </c>
      <c r="G1625" s="178">
        <v>0</v>
      </c>
      <c r="H1625" s="178">
        <v>0</v>
      </c>
      <c r="I1625" s="178">
        <v>0</v>
      </c>
      <c r="J1625" s="178" t="s">
        <v>497</v>
      </c>
    </row>
    <row r="1626" spans="1:10">
      <c r="A1626" s="178">
        <v>40</v>
      </c>
      <c r="B1626" s="178" t="s">
        <v>565</v>
      </c>
      <c r="C1626" s="178">
        <v>0</v>
      </c>
      <c r="D1626" s="178">
        <v>0</v>
      </c>
      <c r="E1626" s="178">
        <v>0</v>
      </c>
      <c r="F1626" s="178">
        <v>0</v>
      </c>
      <c r="G1626" s="178">
        <v>0</v>
      </c>
      <c r="H1626" s="178">
        <v>0</v>
      </c>
      <c r="I1626" s="178">
        <v>0</v>
      </c>
      <c r="J1626" s="178" t="s">
        <v>497</v>
      </c>
    </row>
    <row r="1627" spans="1:10">
      <c r="A1627" s="178">
        <v>50</v>
      </c>
      <c r="B1627" s="178" t="s">
        <v>566</v>
      </c>
      <c r="C1627" s="178">
        <v>0</v>
      </c>
      <c r="D1627" s="178">
        <v>0</v>
      </c>
      <c r="E1627" s="178">
        <v>0</v>
      </c>
      <c r="F1627" s="178">
        <v>0</v>
      </c>
      <c r="G1627" s="178">
        <v>0</v>
      </c>
      <c r="H1627" s="178">
        <v>0</v>
      </c>
      <c r="I1627" s="178">
        <v>0</v>
      </c>
      <c r="J1627" s="178" t="s">
        <v>497</v>
      </c>
    </row>
    <row r="1628" spans="1:10">
      <c r="A1628" s="178">
        <v>60</v>
      </c>
      <c r="B1628" s="178" t="s">
        <v>268</v>
      </c>
      <c r="C1628" s="178">
        <v>0</v>
      </c>
      <c r="D1628" s="178">
        <v>0</v>
      </c>
      <c r="E1628" s="178">
        <v>0</v>
      </c>
      <c r="F1628" s="178">
        <v>0</v>
      </c>
      <c r="G1628" s="178">
        <v>0</v>
      </c>
      <c r="H1628" s="178">
        <v>0</v>
      </c>
      <c r="I1628" s="178">
        <v>0</v>
      </c>
      <c r="J1628" s="178" t="s">
        <v>497</v>
      </c>
    </row>
    <row r="1629" spans="1:10">
      <c r="A1629" s="178">
        <v>70</v>
      </c>
      <c r="B1629" s="178" t="s">
        <v>567</v>
      </c>
      <c r="C1629" s="178">
        <v>0</v>
      </c>
      <c r="D1629" s="178">
        <v>0</v>
      </c>
      <c r="E1629" s="178">
        <v>0</v>
      </c>
      <c r="F1629" s="178">
        <v>0</v>
      </c>
      <c r="G1629" s="178">
        <v>0</v>
      </c>
      <c r="H1629" s="178">
        <v>0</v>
      </c>
      <c r="I1629" s="178">
        <v>0</v>
      </c>
      <c r="J1629" s="178" t="s">
        <v>497</v>
      </c>
    </row>
    <row r="1630" spans="1:10">
      <c r="A1630" s="178">
        <v>80</v>
      </c>
      <c r="B1630" s="178" t="s">
        <v>568</v>
      </c>
      <c r="C1630" s="178">
        <v>0</v>
      </c>
      <c r="D1630" s="178">
        <v>0</v>
      </c>
      <c r="E1630" s="178">
        <v>0</v>
      </c>
      <c r="F1630" s="178">
        <v>0</v>
      </c>
      <c r="G1630" s="178">
        <v>0</v>
      </c>
      <c r="H1630" s="178">
        <v>0</v>
      </c>
      <c r="I1630" s="178">
        <v>0</v>
      </c>
      <c r="J1630" s="178" t="s">
        <v>497</v>
      </c>
    </row>
    <row r="1631" spans="1:10">
      <c r="A1631" s="178">
        <v>100</v>
      </c>
      <c r="B1631" s="178" t="s">
        <v>569</v>
      </c>
      <c r="C1631" s="178">
        <v>5367.68</v>
      </c>
      <c r="D1631" s="178">
        <v>0</v>
      </c>
      <c r="E1631" s="178">
        <v>5367.68</v>
      </c>
      <c r="F1631" s="178">
        <v>-10</v>
      </c>
      <c r="G1631" s="178">
        <v>-10</v>
      </c>
      <c r="H1631" s="178">
        <v>5377.68</v>
      </c>
      <c r="I1631" s="178">
        <v>5377.68</v>
      </c>
      <c r="J1631" s="178" t="s">
        <v>497</v>
      </c>
    </row>
    <row r="1632" spans="1:10">
      <c r="A1632" s="178">
        <v>110</v>
      </c>
      <c r="B1632" s="178" t="s">
        <v>570</v>
      </c>
      <c r="C1632" s="178">
        <v>0</v>
      </c>
      <c r="D1632" s="178">
        <v>0</v>
      </c>
      <c r="E1632" s="178">
        <v>0</v>
      </c>
      <c r="F1632" s="178">
        <v>0</v>
      </c>
      <c r="G1632" s="178">
        <v>0</v>
      </c>
      <c r="H1632" s="178">
        <v>0</v>
      </c>
      <c r="I1632" s="178">
        <v>0</v>
      </c>
      <c r="J1632" s="178" t="s">
        <v>497</v>
      </c>
    </row>
    <row r="1633" spans="1:10">
      <c r="A1633" s="178">
        <v>120</v>
      </c>
      <c r="B1633" s="178" t="s">
        <v>571</v>
      </c>
      <c r="C1633" s="178">
        <v>0</v>
      </c>
      <c r="D1633" s="178">
        <v>0</v>
      </c>
      <c r="E1633" s="178">
        <v>0</v>
      </c>
      <c r="F1633" s="178">
        <v>0</v>
      </c>
      <c r="G1633" s="178">
        <v>0</v>
      </c>
      <c r="H1633" s="178">
        <v>0</v>
      </c>
      <c r="I1633" s="178">
        <v>0</v>
      </c>
      <c r="J1633" s="178" t="s">
        <v>497</v>
      </c>
    </row>
    <row r="1634" spans="1:10">
      <c r="A1634" s="178">
        <v>130</v>
      </c>
      <c r="B1634" s="178" t="s">
        <v>572</v>
      </c>
      <c r="C1634" s="178">
        <v>0</v>
      </c>
      <c r="D1634" s="178">
        <v>0</v>
      </c>
      <c r="E1634" s="178">
        <v>0</v>
      </c>
      <c r="F1634" s="178">
        <v>0</v>
      </c>
      <c r="G1634" s="178">
        <v>0</v>
      </c>
      <c r="H1634" s="178">
        <v>0</v>
      </c>
      <c r="I1634" s="178">
        <v>0</v>
      </c>
      <c r="J1634" s="178" t="s">
        <v>497</v>
      </c>
    </row>
    <row r="1635" spans="1:10">
      <c r="A1635" s="178">
        <v>140</v>
      </c>
      <c r="B1635" s="178" t="s">
        <v>573</v>
      </c>
      <c r="C1635" s="178">
        <v>0</v>
      </c>
      <c r="D1635" s="178">
        <v>0</v>
      </c>
      <c r="E1635" s="178">
        <v>0</v>
      </c>
      <c r="F1635" s="178">
        <v>0</v>
      </c>
      <c r="G1635" s="178">
        <v>0</v>
      </c>
      <c r="H1635" s="178">
        <v>0</v>
      </c>
      <c r="I1635" s="178">
        <v>0</v>
      </c>
      <c r="J1635" s="178" t="s">
        <v>497</v>
      </c>
    </row>
    <row r="1636" spans="1:10">
      <c r="A1636" s="178">
        <v>150</v>
      </c>
      <c r="B1636" s="178" t="s">
        <v>574</v>
      </c>
      <c r="C1636" s="178">
        <v>0</v>
      </c>
      <c r="D1636" s="178">
        <v>0</v>
      </c>
      <c r="E1636" s="178">
        <v>0</v>
      </c>
      <c r="F1636" s="178">
        <v>0</v>
      </c>
      <c r="G1636" s="178">
        <v>0</v>
      </c>
      <c r="H1636" s="178">
        <v>0</v>
      </c>
      <c r="I1636" s="178">
        <v>0</v>
      </c>
      <c r="J1636" s="178" t="s">
        <v>497</v>
      </c>
    </row>
    <row r="1637" spans="1:10">
      <c r="A1637" s="178">
        <v>160</v>
      </c>
      <c r="B1637" s="178" t="s">
        <v>575</v>
      </c>
      <c r="C1637" s="178">
        <v>0</v>
      </c>
      <c r="D1637" s="178">
        <v>0</v>
      </c>
      <c r="E1637" s="178">
        <v>0</v>
      </c>
      <c r="F1637" s="178">
        <v>0</v>
      </c>
      <c r="G1637" s="178">
        <v>0</v>
      </c>
      <c r="H1637" s="178">
        <v>0</v>
      </c>
      <c r="I1637" s="178">
        <v>0</v>
      </c>
      <c r="J1637" s="178" t="s">
        <v>497</v>
      </c>
    </row>
    <row r="1638" spans="1:10">
      <c r="A1638" s="178">
        <v>170</v>
      </c>
      <c r="B1638" s="178" t="s">
        <v>576</v>
      </c>
      <c r="C1638" s="178">
        <v>0</v>
      </c>
      <c r="D1638" s="178">
        <v>0</v>
      </c>
      <c r="E1638" s="178">
        <v>0</v>
      </c>
      <c r="F1638" s="178">
        <v>0</v>
      </c>
      <c r="G1638" s="178">
        <v>0</v>
      </c>
      <c r="H1638" s="178">
        <v>0</v>
      </c>
      <c r="I1638" s="178">
        <v>0</v>
      </c>
      <c r="J1638" s="178" t="s">
        <v>497</v>
      </c>
    </row>
    <row r="1639" spans="1:10">
      <c r="A1639" s="178">
        <v>180</v>
      </c>
      <c r="B1639" s="178" t="s">
        <v>577</v>
      </c>
      <c r="C1639" s="178">
        <v>0</v>
      </c>
      <c r="D1639" s="178">
        <v>0</v>
      </c>
      <c r="E1639" s="178">
        <v>0</v>
      </c>
      <c r="F1639" s="178">
        <v>0</v>
      </c>
      <c r="G1639" s="178">
        <v>0</v>
      </c>
      <c r="H1639" s="178">
        <v>0</v>
      </c>
      <c r="I1639" s="178">
        <v>0</v>
      </c>
      <c r="J1639" s="178" t="s">
        <v>497</v>
      </c>
    </row>
    <row r="1640" spans="1:10">
      <c r="A1640" s="178">
        <v>190</v>
      </c>
      <c r="B1640" s="178" t="s">
        <v>578</v>
      </c>
      <c r="C1640" s="178">
        <v>-23171</v>
      </c>
      <c r="D1640" s="178">
        <v>0</v>
      </c>
      <c r="E1640" s="178">
        <v>-23171</v>
      </c>
      <c r="F1640" s="178">
        <v>0</v>
      </c>
      <c r="G1640" s="178">
        <v>0</v>
      </c>
      <c r="H1640" s="178">
        <v>-23171</v>
      </c>
      <c r="I1640" s="178">
        <v>-23171</v>
      </c>
      <c r="J1640" s="178" t="s">
        <v>497</v>
      </c>
    </row>
    <row r="1641" spans="1:10">
      <c r="A1641" s="178">
        <v>200</v>
      </c>
      <c r="B1641" s="178" t="s">
        <v>579</v>
      </c>
      <c r="C1641" s="178">
        <v>-23171</v>
      </c>
      <c r="D1641" s="178">
        <v>0</v>
      </c>
      <c r="E1641" s="178">
        <v>-23171</v>
      </c>
      <c r="F1641" s="178">
        <v>0</v>
      </c>
      <c r="G1641" s="178">
        <v>0</v>
      </c>
      <c r="H1641" s="178">
        <v>-23171</v>
      </c>
      <c r="I1641" s="178">
        <v>-23171</v>
      </c>
      <c r="J1641" s="178" t="s">
        <v>497</v>
      </c>
    </row>
    <row r="1642" spans="1:10">
      <c r="A1642" s="178">
        <v>210</v>
      </c>
      <c r="B1642" s="178" t="s">
        <v>580</v>
      </c>
      <c r="C1642" s="178">
        <v>0</v>
      </c>
      <c r="D1642" s="178">
        <v>0</v>
      </c>
      <c r="E1642" s="178">
        <v>0</v>
      </c>
      <c r="F1642" s="178">
        <v>0</v>
      </c>
      <c r="G1642" s="178">
        <v>0</v>
      </c>
      <c r="H1642" s="178">
        <v>0</v>
      </c>
      <c r="I1642" s="178">
        <v>0</v>
      </c>
      <c r="J1642" s="178" t="s">
        <v>497</v>
      </c>
    </row>
    <row r="1643" spans="1:10">
      <c r="A1643" s="178">
        <v>220</v>
      </c>
      <c r="B1643" s="178" t="s">
        <v>581</v>
      </c>
      <c r="C1643" s="178">
        <v>61457.63</v>
      </c>
      <c r="D1643" s="178">
        <v>0</v>
      </c>
      <c r="E1643" s="178">
        <v>61457.63</v>
      </c>
      <c r="F1643" s="178">
        <v>0</v>
      </c>
      <c r="G1643" s="178">
        <v>0</v>
      </c>
      <c r="H1643" s="178">
        <v>61457.63</v>
      </c>
      <c r="I1643" s="178">
        <v>61457.63</v>
      </c>
      <c r="J1643" s="178" t="s">
        <v>497</v>
      </c>
    </row>
    <row r="1644" spans="1:10">
      <c r="A1644" s="178">
        <v>230</v>
      </c>
      <c r="B1644" s="178" t="s">
        <v>582</v>
      </c>
      <c r="C1644" s="178">
        <v>255096</v>
      </c>
      <c r="D1644" s="178">
        <v>0</v>
      </c>
      <c r="E1644" s="178">
        <v>255096</v>
      </c>
      <c r="F1644" s="178">
        <v>0</v>
      </c>
      <c r="G1644" s="178">
        <v>0</v>
      </c>
      <c r="H1644" s="178">
        <v>255096</v>
      </c>
      <c r="I1644" s="178">
        <v>255096</v>
      </c>
      <c r="J1644" s="178" t="s">
        <v>497</v>
      </c>
    </row>
    <row r="1645" spans="1:10">
      <c r="A1645" s="178">
        <v>240</v>
      </c>
      <c r="B1645" s="178" t="s">
        <v>583</v>
      </c>
      <c r="C1645" s="178">
        <v>-61457.63</v>
      </c>
      <c r="D1645" s="178">
        <v>0</v>
      </c>
      <c r="E1645" s="178">
        <v>-61457.63</v>
      </c>
      <c r="F1645" s="178">
        <v>0</v>
      </c>
      <c r="G1645" s="178">
        <v>0</v>
      </c>
      <c r="H1645" s="178">
        <v>-61457.63</v>
      </c>
      <c r="I1645" s="178">
        <v>-61457.63</v>
      </c>
      <c r="J1645" s="178" t="s">
        <v>497</v>
      </c>
    </row>
    <row r="1646" spans="1:10">
      <c r="A1646" s="178">
        <v>250</v>
      </c>
      <c r="B1646" s="178" t="s">
        <v>584</v>
      </c>
      <c r="C1646" s="178">
        <v>255096</v>
      </c>
      <c r="D1646" s="178">
        <v>0</v>
      </c>
      <c r="E1646" s="178">
        <v>255096</v>
      </c>
      <c r="F1646" s="178">
        <v>0</v>
      </c>
      <c r="G1646" s="178">
        <v>0</v>
      </c>
      <c r="H1646" s="178">
        <v>255096</v>
      </c>
      <c r="I1646" s="178">
        <v>255096</v>
      </c>
      <c r="J1646" s="178" t="s">
        <v>497</v>
      </c>
    </row>
    <row r="1647" spans="1:10">
      <c r="A1647" s="178">
        <v>260</v>
      </c>
      <c r="B1647" s="178" t="s">
        <v>585</v>
      </c>
      <c r="C1647" s="178">
        <v>0</v>
      </c>
      <c r="D1647" s="178">
        <v>0</v>
      </c>
      <c r="E1647" s="178">
        <v>0</v>
      </c>
      <c r="F1647" s="178">
        <v>0</v>
      </c>
      <c r="G1647" s="178">
        <v>0</v>
      </c>
      <c r="H1647" s="178">
        <v>0</v>
      </c>
      <c r="I1647" s="178">
        <v>0</v>
      </c>
      <c r="J1647" s="178" t="s">
        <v>497</v>
      </c>
    </row>
    <row r="1648" spans="1:10">
      <c r="A1648" s="178">
        <v>270</v>
      </c>
      <c r="B1648" s="178" t="s">
        <v>586</v>
      </c>
      <c r="C1648" s="178">
        <v>151384</v>
      </c>
      <c r="D1648" s="178">
        <v>0</v>
      </c>
      <c r="E1648" s="178">
        <v>151384</v>
      </c>
      <c r="F1648" s="178">
        <v>0</v>
      </c>
      <c r="G1648" s="178">
        <v>0</v>
      </c>
      <c r="H1648" s="178">
        <v>151384</v>
      </c>
      <c r="I1648" s="178">
        <v>151384</v>
      </c>
      <c r="J1648" s="178" t="s">
        <v>497</v>
      </c>
    </row>
    <row r="1649" spans="1:10">
      <c r="A1649" s="178">
        <v>280</v>
      </c>
      <c r="B1649" s="178" t="s">
        <v>587</v>
      </c>
      <c r="C1649" s="178">
        <v>151384</v>
      </c>
      <c r="D1649" s="178">
        <v>0</v>
      </c>
      <c r="E1649" s="178">
        <v>151384</v>
      </c>
      <c r="F1649" s="178">
        <v>0</v>
      </c>
      <c r="G1649" s="178">
        <v>0</v>
      </c>
      <c r="H1649" s="178">
        <v>151384</v>
      </c>
      <c r="I1649" s="178">
        <v>151384</v>
      </c>
      <c r="J1649" s="178" t="s">
        <v>497</v>
      </c>
    </row>
    <row r="1650" spans="1:10">
      <c r="A1650" s="178">
        <v>400</v>
      </c>
      <c r="B1650" s="178" t="s">
        <v>588</v>
      </c>
      <c r="C1650" s="178">
        <v>388676.68</v>
      </c>
      <c r="D1650" s="178">
        <v>0</v>
      </c>
      <c r="E1650" s="178">
        <v>388676.68</v>
      </c>
      <c r="F1650" s="178">
        <v>-10</v>
      </c>
      <c r="G1650" s="178">
        <v>-10</v>
      </c>
      <c r="H1650" s="178">
        <v>388686.68</v>
      </c>
      <c r="I1650" s="178">
        <v>388686.68</v>
      </c>
      <c r="J1650" s="178" t="s">
        <v>497</v>
      </c>
    </row>
    <row r="1651" spans="1:10">
      <c r="A1651" s="178">
        <v>410</v>
      </c>
      <c r="B1651" s="178" t="s">
        <v>589</v>
      </c>
      <c r="C1651" s="178">
        <v>0</v>
      </c>
      <c r="D1651" s="178">
        <v>0</v>
      </c>
      <c r="E1651" s="178">
        <v>0</v>
      </c>
      <c r="F1651" s="178">
        <v>0</v>
      </c>
      <c r="G1651" s="178">
        <v>0</v>
      </c>
      <c r="H1651" s="178">
        <v>0</v>
      </c>
      <c r="I1651" s="178">
        <v>0</v>
      </c>
      <c r="J1651" s="178" t="s">
        <v>497</v>
      </c>
    </row>
    <row r="1652" spans="1:10">
      <c r="A1652" s="178">
        <v>420</v>
      </c>
      <c r="B1652" s="178" t="s">
        <v>590</v>
      </c>
      <c r="C1652" s="178">
        <v>0</v>
      </c>
      <c r="D1652" s="178">
        <v>0</v>
      </c>
      <c r="E1652" s="178">
        <v>0</v>
      </c>
      <c r="F1652" s="178">
        <v>0</v>
      </c>
      <c r="G1652" s="178">
        <v>0</v>
      </c>
      <c r="H1652" s="178">
        <v>0</v>
      </c>
      <c r="I1652" s="178">
        <v>0</v>
      </c>
      <c r="J1652" s="178" t="s">
        <v>497</v>
      </c>
    </row>
    <row r="1653" spans="1:10">
      <c r="A1653" s="178">
        <v>430</v>
      </c>
      <c r="B1653" s="178" t="s">
        <v>591</v>
      </c>
      <c r="C1653" s="178">
        <v>0</v>
      </c>
      <c r="D1653" s="178">
        <v>0</v>
      </c>
      <c r="E1653" s="178">
        <v>0</v>
      </c>
      <c r="F1653" s="178">
        <v>0</v>
      </c>
      <c r="G1653" s="178">
        <v>0</v>
      </c>
      <c r="H1653" s="178">
        <v>0</v>
      </c>
      <c r="I1653" s="178">
        <v>0</v>
      </c>
      <c r="J1653" s="178" t="s">
        <v>497</v>
      </c>
    </row>
    <row r="1654" spans="1:10">
      <c r="A1654" s="178">
        <v>440</v>
      </c>
      <c r="B1654" s="178" t="s">
        <v>592</v>
      </c>
      <c r="C1654" s="178">
        <v>0</v>
      </c>
      <c r="D1654" s="178">
        <v>0</v>
      </c>
      <c r="E1654" s="178">
        <v>0</v>
      </c>
      <c r="F1654" s="178">
        <v>0</v>
      </c>
      <c r="G1654" s="178">
        <v>0</v>
      </c>
      <c r="H1654" s="178">
        <v>0</v>
      </c>
      <c r="I1654" s="178">
        <v>0</v>
      </c>
      <c r="J1654" s="178" t="s">
        <v>497</v>
      </c>
    </row>
    <row r="1655" spans="1:10">
      <c r="A1655" s="178">
        <v>450</v>
      </c>
      <c r="B1655" s="178" t="s">
        <v>593</v>
      </c>
      <c r="C1655" s="178">
        <v>0</v>
      </c>
      <c r="D1655" s="178">
        <v>0</v>
      </c>
      <c r="E1655" s="178">
        <v>0</v>
      </c>
      <c r="F1655" s="178">
        <v>0</v>
      </c>
      <c r="G1655" s="178">
        <v>0</v>
      </c>
      <c r="H1655" s="178">
        <v>0</v>
      </c>
      <c r="I1655" s="178">
        <v>0</v>
      </c>
      <c r="J1655" s="178" t="s">
        <v>497</v>
      </c>
    </row>
    <row r="1656" spans="1:10">
      <c r="A1656" s="178">
        <v>460</v>
      </c>
      <c r="B1656" s="178" t="s">
        <v>594</v>
      </c>
      <c r="C1656" s="178">
        <v>0</v>
      </c>
      <c r="D1656" s="178">
        <v>0</v>
      </c>
      <c r="E1656" s="178">
        <v>0</v>
      </c>
      <c r="F1656" s="178">
        <v>0</v>
      </c>
      <c r="G1656" s="178">
        <v>0</v>
      </c>
      <c r="H1656" s="178">
        <v>0</v>
      </c>
      <c r="I1656" s="178">
        <v>0</v>
      </c>
      <c r="J1656" s="178" t="s">
        <v>497</v>
      </c>
    </row>
    <row r="1657" spans="1:10">
      <c r="A1657" s="178">
        <v>500</v>
      </c>
      <c r="B1657" s="178" t="s">
        <v>595</v>
      </c>
      <c r="C1657" s="178">
        <v>0</v>
      </c>
      <c r="D1657" s="178">
        <v>0</v>
      </c>
      <c r="E1657" s="178">
        <v>0</v>
      </c>
      <c r="F1657" s="178">
        <v>0</v>
      </c>
      <c r="G1657" s="178">
        <v>0</v>
      </c>
      <c r="H1657" s="178">
        <v>0</v>
      </c>
      <c r="I1657" s="178">
        <v>0</v>
      </c>
      <c r="J1657" s="178" t="s">
        <v>497</v>
      </c>
    </row>
    <row r="1658" spans="1:10">
      <c r="A1658" s="178">
        <v>510</v>
      </c>
      <c r="B1658" s="178" t="s">
        <v>596</v>
      </c>
      <c r="C1658" s="178">
        <v>0</v>
      </c>
      <c r="D1658" s="178">
        <v>0</v>
      </c>
      <c r="E1658" s="178">
        <v>0</v>
      </c>
      <c r="F1658" s="178">
        <v>0</v>
      </c>
      <c r="G1658" s="178">
        <v>0</v>
      </c>
      <c r="H1658" s="178">
        <v>0</v>
      </c>
      <c r="I1658" s="178">
        <v>0</v>
      </c>
      <c r="J1658" s="178" t="s">
        <v>497</v>
      </c>
    </row>
    <row r="1659" spans="1:10">
      <c r="A1659" s="178">
        <v>520</v>
      </c>
      <c r="B1659" s="178" t="s">
        <v>597</v>
      </c>
      <c r="C1659" s="178">
        <v>5249626.68</v>
      </c>
      <c r="D1659" s="178">
        <v>0</v>
      </c>
      <c r="E1659" s="178">
        <v>5249626.68</v>
      </c>
      <c r="F1659" s="178">
        <v>0</v>
      </c>
      <c r="G1659" s="178">
        <v>0</v>
      </c>
      <c r="H1659" s="178">
        <v>5249626.68</v>
      </c>
      <c r="I1659" s="178">
        <v>5249626.68</v>
      </c>
      <c r="J1659" s="178" t="s">
        <v>497</v>
      </c>
    </row>
    <row r="1660" spans="1:10">
      <c r="A1660" s="178">
        <v>530</v>
      </c>
      <c r="B1660" s="178" t="s">
        <v>598</v>
      </c>
      <c r="C1660" s="178">
        <v>0</v>
      </c>
      <c r="D1660" s="178">
        <v>0</v>
      </c>
      <c r="E1660" s="178">
        <v>0</v>
      </c>
      <c r="F1660" s="178">
        <v>0</v>
      </c>
      <c r="G1660" s="178">
        <v>0</v>
      </c>
      <c r="H1660" s="178">
        <v>0</v>
      </c>
      <c r="I1660" s="178">
        <v>0</v>
      </c>
      <c r="J1660" s="178" t="s">
        <v>497</v>
      </c>
    </row>
    <row r="1661" spans="1:10">
      <c r="A1661" s="178">
        <v>540</v>
      </c>
      <c r="B1661" s="178" t="s">
        <v>599</v>
      </c>
      <c r="C1661" s="178">
        <v>0</v>
      </c>
      <c r="D1661" s="178">
        <v>0</v>
      </c>
      <c r="E1661" s="178">
        <v>0</v>
      </c>
      <c r="F1661" s="178">
        <v>0</v>
      </c>
      <c r="G1661" s="178">
        <v>0</v>
      </c>
      <c r="H1661" s="178">
        <v>0</v>
      </c>
      <c r="I1661" s="178">
        <v>0</v>
      </c>
      <c r="J1661" s="178" t="s">
        <v>497</v>
      </c>
    </row>
    <row r="1662" spans="1:10">
      <c r="A1662" s="178">
        <v>600</v>
      </c>
      <c r="B1662" s="178" t="s">
        <v>600</v>
      </c>
      <c r="C1662" s="178">
        <v>5249626.68</v>
      </c>
      <c r="D1662" s="178">
        <v>0</v>
      </c>
      <c r="E1662" s="178">
        <v>5249626.68</v>
      </c>
      <c r="F1662" s="178">
        <v>0</v>
      </c>
      <c r="G1662" s="178">
        <v>0</v>
      </c>
      <c r="H1662" s="178">
        <v>5249626.68</v>
      </c>
      <c r="I1662" s="178">
        <v>5249626.68</v>
      </c>
      <c r="J1662" s="178" t="s">
        <v>497</v>
      </c>
    </row>
    <row r="1663" spans="1:10">
      <c r="A1663" s="178">
        <v>610</v>
      </c>
      <c r="B1663" s="178" t="s">
        <v>601</v>
      </c>
      <c r="C1663" s="178">
        <v>0</v>
      </c>
      <c r="D1663" s="178">
        <v>0</v>
      </c>
      <c r="E1663" s="178">
        <v>0</v>
      </c>
      <c r="F1663" s="178">
        <v>0</v>
      </c>
      <c r="G1663" s="178">
        <v>0</v>
      </c>
      <c r="H1663" s="178">
        <v>0</v>
      </c>
      <c r="I1663" s="178">
        <v>0</v>
      </c>
      <c r="J1663" s="178" t="s">
        <v>497</v>
      </c>
    </row>
    <row r="1664" spans="1:10">
      <c r="A1664" s="178">
        <v>620</v>
      </c>
      <c r="B1664" s="178"/>
      <c r="C1664" s="178">
        <v>0</v>
      </c>
      <c r="D1664" s="178">
        <v>0</v>
      </c>
      <c r="E1664" s="178">
        <v>0</v>
      </c>
      <c r="F1664" s="178">
        <v>0</v>
      </c>
      <c r="G1664" s="178">
        <v>0</v>
      </c>
      <c r="H1664" s="178">
        <v>0</v>
      </c>
      <c r="I1664" s="178">
        <v>0</v>
      </c>
      <c r="J1664" s="178" t="s">
        <v>497</v>
      </c>
    </row>
    <row r="1665" spans="1:10">
      <c r="A1665" s="178">
        <v>700</v>
      </c>
      <c r="B1665" s="178" t="s">
        <v>602</v>
      </c>
      <c r="C1665" s="178">
        <v>0</v>
      </c>
      <c r="D1665" s="178">
        <v>0</v>
      </c>
      <c r="E1665" s="178">
        <v>0</v>
      </c>
      <c r="F1665" s="178">
        <v>0</v>
      </c>
      <c r="G1665" s="178">
        <v>0</v>
      </c>
      <c r="H1665" s="178">
        <v>0</v>
      </c>
      <c r="I1665" s="178">
        <v>0</v>
      </c>
      <c r="J1665" s="178" t="s">
        <v>497</v>
      </c>
    </row>
    <row r="1666" spans="1:10">
      <c r="A1666" s="178">
        <v>710</v>
      </c>
      <c r="B1666" s="178" t="s">
        <v>558</v>
      </c>
      <c r="C1666" s="178">
        <v>0</v>
      </c>
      <c r="D1666" s="178">
        <v>0</v>
      </c>
      <c r="E1666" s="178">
        <v>0</v>
      </c>
      <c r="F1666" s="178">
        <v>0</v>
      </c>
      <c r="G1666" s="178">
        <v>0</v>
      </c>
      <c r="H1666" s="178">
        <v>0</v>
      </c>
      <c r="I1666" s="178">
        <v>0</v>
      </c>
      <c r="J1666" s="178" t="s">
        <v>497</v>
      </c>
    </row>
    <row r="1667" spans="1:10">
      <c r="A1667" s="178">
        <v>720</v>
      </c>
      <c r="B1667" s="178" t="s">
        <v>603</v>
      </c>
      <c r="C1667" s="178">
        <v>2000</v>
      </c>
      <c r="D1667" s="178">
        <v>0</v>
      </c>
      <c r="E1667" s="178">
        <v>2000</v>
      </c>
      <c r="F1667" s="178">
        <v>0</v>
      </c>
      <c r="G1667" s="178">
        <v>0</v>
      </c>
      <c r="H1667" s="178">
        <v>2000</v>
      </c>
      <c r="I1667" s="178">
        <v>2000</v>
      </c>
      <c r="J1667" s="178" t="s">
        <v>497</v>
      </c>
    </row>
    <row r="1668" spans="1:10">
      <c r="A1668" s="178">
        <v>730</v>
      </c>
      <c r="B1668" s="178" t="s">
        <v>604</v>
      </c>
      <c r="C1668" s="178">
        <v>0</v>
      </c>
      <c r="D1668" s="178">
        <v>0</v>
      </c>
      <c r="E1668" s="178">
        <v>0</v>
      </c>
      <c r="F1668" s="178">
        <v>0</v>
      </c>
      <c r="G1668" s="178">
        <v>0</v>
      </c>
      <c r="H1668" s="178">
        <v>0</v>
      </c>
      <c r="I1668" s="178">
        <v>0</v>
      </c>
      <c r="J1668" s="178" t="s">
        <v>497</v>
      </c>
    </row>
    <row r="1669" spans="1:10">
      <c r="A1669" s="178">
        <v>740</v>
      </c>
      <c r="B1669" s="178" t="s">
        <v>605</v>
      </c>
      <c r="C1669" s="178">
        <v>-8457687.53</v>
      </c>
      <c r="D1669" s="178">
        <v>0</v>
      </c>
      <c r="E1669" s="178">
        <v>-8457687.53</v>
      </c>
      <c r="F1669" s="178">
        <v>0</v>
      </c>
      <c r="G1669" s="178">
        <v>0</v>
      </c>
      <c r="H1669" s="178">
        <v>-8393314.75</v>
      </c>
      <c r="I1669" s="178">
        <v>-8457687.53</v>
      </c>
      <c r="J1669" s="178" t="s">
        <v>497</v>
      </c>
    </row>
    <row r="1670" spans="1:10">
      <c r="A1670" s="178">
        <v>750</v>
      </c>
      <c r="B1670" s="178" t="s">
        <v>474</v>
      </c>
      <c r="C1670" s="178">
        <v>-10</v>
      </c>
      <c r="D1670" s="178">
        <v>0</v>
      </c>
      <c r="E1670" s="178">
        <v>-10</v>
      </c>
      <c r="F1670" s="178">
        <v>-10</v>
      </c>
      <c r="G1670" s="178">
        <v>-10</v>
      </c>
      <c r="H1670" s="178">
        <v>-64372.78</v>
      </c>
      <c r="I1670" s="178">
        <v>0</v>
      </c>
      <c r="J1670" s="178" t="s">
        <v>497</v>
      </c>
    </row>
    <row r="1671" spans="1:10">
      <c r="A1671" s="178">
        <v>760</v>
      </c>
      <c r="B1671" s="178" t="s">
        <v>606</v>
      </c>
      <c r="C1671" s="178">
        <v>3594747.53</v>
      </c>
      <c r="D1671" s="178">
        <v>0</v>
      </c>
      <c r="E1671" s="178">
        <v>3594747.53</v>
      </c>
      <c r="F1671" s="178">
        <v>0</v>
      </c>
      <c r="G1671" s="178">
        <v>0</v>
      </c>
      <c r="H1671" s="178">
        <v>3594747.53</v>
      </c>
      <c r="I1671" s="178">
        <v>3594747.53</v>
      </c>
      <c r="J1671" s="178" t="s">
        <v>497</v>
      </c>
    </row>
    <row r="1672" spans="1:10">
      <c r="A1672" s="178">
        <v>770</v>
      </c>
      <c r="B1672" s="178"/>
      <c r="C1672" s="178">
        <v>0</v>
      </c>
      <c r="D1672" s="178">
        <v>0</v>
      </c>
      <c r="E1672" s="178">
        <v>0</v>
      </c>
      <c r="F1672" s="178">
        <v>0</v>
      </c>
      <c r="G1672" s="178">
        <v>0</v>
      </c>
      <c r="H1672" s="178">
        <v>0</v>
      </c>
      <c r="I1672" s="178">
        <v>0</v>
      </c>
      <c r="J1672" s="178" t="s">
        <v>497</v>
      </c>
    </row>
    <row r="1673" spans="1:10">
      <c r="A1673" s="178">
        <v>800</v>
      </c>
      <c r="B1673" s="178" t="s">
        <v>607</v>
      </c>
      <c r="C1673" s="178">
        <v>-4860950</v>
      </c>
      <c r="D1673" s="178">
        <v>0</v>
      </c>
      <c r="E1673" s="178">
        <v>-4860950</v>
      </c>
      <c r="F1673" s="178">
        <v>-10</v>
      </c>
      <c r="G1673" s="178">
        <v>-10</v>
      </c>
      <c r="H1673" s="178">
        <v>-4860940</v>
      </c>
      <c r="I1673" s="178">
        <v>-4860940</v>
      </c>
      <c r="J1673" s="178" t="s">
        <v>497</v>
      </c>
    </row>
    <row r="1674" spans="1:10">
      <c r="A1674" s="178">
        <v>900</v>
      </c>
      <c r="B1674" s="178" t="s">
        <v>608</v>
      </c>
      <c r="C1674" s="178">
        <v>388676.68</v>
      </c>
      <c r="D1674" s="178">
        <v>0</v>
      </c>
      <c r="E1674" s="178">
        <v>388676.68</v>
      </c>
      <c r="F1674" s="178">
        <v>-10</v>
      </c>
      <c r="G1674" s="178">
        <v>-10</v>
      </c>
      <c r="H1674" s="178">
        <v>388686.68</v>
      </c>
      <c r="I1674" s="178">
        <v>388686.68</v>
      </c>
      <c r="J1674" s="178" t="s">
        <v>497</v>
      </c>
    </row>
    <row r="1675" spans="1:10">
      <c r="A1675" s="178">
        <v>1000</v>
      </c>
      <c r="B1675" s="178" t="s">
        <v>559</v>
      </c>
      <c r="C1675" s="178">
        <v>0</v>
      </c>
      <c r="D1675" s="178">
        <v>0</v>
      </c>
      <c r="E1675" s="178">
        <v>0</v>
      </c>
      <c r="F1675" s="178">
        <v>0</v>
      </c>
      <c r="G1675" s="178">
        <v>0</v>
      </c>
      <c r="H1675" s="178">
        <v>0</v>
      </c>
      <c r="I1675" s="178">
        <v>0</v>
      </c>
      <c r="J1675" s="178" t="s">
        <v>497</v>
      </c>
    </row>
    <row r="1676" spans="1:10">
      <c r="A1676" s="178"/>
      <c r="B1676" s="178"/>
      <c r="C1676" s="178"/>
      <c r="D1676" s="178"/>
      <c r="E1676" s="178"/>
      <c r="F1676" s="178"/>
      <c r="G1676" s="178"/>
      <c r="H1676" s="178"/>
      <c r="I1676" s="178"/>
      <c r="J1676" s="1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BDFE">
    <outlinePr summaryBelow="1" summaryRight="1"/>
  </sheetPr>
  <dimension ref="A1:I2005"/>
  <sheetViews>
    <sheetView tabSelected="0" workbookViewId="0" zoomScale="90" zoomScaleNormal="90" showGridLines="true" showRowColHeaders="1">
      <selection activeCell="A1" sqref="A1:G2005"/>
    </sheetView>
  </sheetViews>
  <sheetFormatPr defaultRowHeight="14.4" defaultColWidth="8.7265625" outlineLevelRow="0" outlineLevelCol="0"/>
  <cols>
    <col min="1" max="1" width="19.26953125" customWidth="true" style="178"/>
    <col min="2" max="2" width="24.54296875" customWidth="true" style="178"/>
    <col min="3" max="3" width="8.7265625" style="178"/>
    <col min="4" max="4" width="11.54296875" customWidth="true" style="178"/>
    <col min="5" max="5" width="8.7265625" style="178"/>
  </cols>
  <sheetData>
    <row r="1" spans="1:9">
      <c r="A1" s="178" t="s">
        <v>401</v>
      </c>
      <c r="B1" s="178" t="s">
        <v>402</v>
      </c>
      <c r="C1" s="178" t="s">
        <v>609</v>
      </c>
      <c r="D1" s="178" t="s">
        <v>610</v>
      </c>
      <c r="E1" s="178" t="s">
        <v>611</v>
      </c>
      <c r="F1" t="s">
        <v>612</v>
      </c>
      <c r="G1" t="s">
        <v>405</v>
      </c>
    </row>
    <row r="2" spans="1:9">
      <c r="A2" s="178">
        <v>10</v>
      </c>
      <c r="B2" s="178" t="s">
        <v>613</v>
      </c>
      <c r="C2" s="178">
        <v>0</v>
      </c>
      <c r="D2" s="178">
        <v>0</v>
      </c>
      <c r="E2" s="178">
        <v>0</v>
      </c>
      <c r="F2">
        <v>0</v>
      </c>
      <c r="G2" t="s">
        <v>497</v>
      </c>
    </row>
    <row r="3" spans="1:9">
      <c r="A3" s="178">
        <v>20</v>
      </c>
      <c r="B3" s="178" t="s">
        <v>406</v>
      </c>
      <c r="C3" s="178">
        <v>29520115.26</v>
      </c>
      <c r="D3" s="178">
        <v>0</v>
      </c>
      <c r="E3" s="178">
        <v>29520115.26</v>
      </c>
      <c r="F3">
        <v>29520115.26</v>
      </c>
      <c r="G3" t="s">
        <v>497</v>
      </c>
    </row>
    <row r="4" spans="1:9">
      <c r="A4" s="178">
        <v>30</v>
      </c>
      <c r="B4" s="178" t="s">
        <v>614</v>
      </c>
      <c r="C4" s="178">
        <v>0</v>
      </c>
      <c r="D4" s="178">
        <v>0</v>
      </c>
      <c r="E4" s="178">
        <v>0</v>
      </c>
      <c r="F4">
        <v>0</v>
      </c>
      <c r="G4" t="s">
        <v>497</v>
      </c>
    </row>
    <row r="5" spans="1:9">
      <c r="A5" s="178">
        <v>35</v>
      </c>
      <c r="B5" s="178" t="s">
        <v>615</v>
      </c>
      <c r="C5" s="178">
        <v>29520115.26</v>
      </c>
      <c r="D5" s="178">
        <v>0</v>
      </c>
      <c r="E5" s="178">
        <v>29520115.26</v>
      </c>
      <c r="F5">
        <v>29520115.26</v>
      </c>
      <c r="G5" t="s">
        <v>497</v>
      </c>
    </row>
    <row r="6" spans="1:9">
      <c r="A6" s="178">
        <v>40</v>
      </c>
      <c r="B6" s="178" t="s">
        <v>616</v>
      </c>
      <c r="C6" s="178">
        <v>10010619.52</v>
      </c>
      <c r="D6" s="178">
        <v>0</v>
      </c>
      <c r="E6" s="178">
        <v>10010619.52</v>
      </c>
      <c r="F6">
        <v>10010619.52</v>
      </c>
      <c r="G6" t="s">
        <v>497</v>
      </c>
    </row>
    <row r="7" spans="1:9">
      <c r="A7" s="178">
        <v>50</v>
      </c>
      <c r="B7" s="178" t="s">
        <v>617</v>
      </c>
      <c r="C7" s="178">
        <v>0</v>
      </c>
      <c r="D7" s="178">
        <v>0</v>
      </c>
      <c r="E7" s="178">
        <v>0</v>
      </c>
      <c r="F7">
        <v>0</v>
      </c>
      <c r="G7" t="s">
        <v>497</v>
      </c>
    </row>
    <row r="8" spans="1:9">
      <c r="A8" s="178">
        <v>60</v>
      </c>
      <c r="B8" s="178" t="s">
        <v>618</v>
      </c>
      <c r="C8" s="178">
        <v>19509495.74</v>
      </c>
      <c r="D8" s="178">
        <v>0</v>
      </c>
      <c r="E8" s="178">
        <v>19509495.74</v>
      </c>
      <c r="F8">
        <v>19509495.74</v>
      </c>
      <c r="G8" t="s">
        <v>497</v>
      </c>
    </row>
    <row r="9" spans="1:9">
      <c r="A9" s="178">
        <v>70</v>
      </c>
      <c r="B9" s="178" t="s">
        <v>412</v>
      </c>
      <c r="C9" s="178">
        <v>11909221.09</v>
      </c>
      <c r="D9" s="178">
        <v>0</v>
      </c>
      <c r="E9" s="178">
        <v>11909221.09</v>
      </c>
      <c r="F9">
        <v>11909221.09</v>
      </c>
      <c r="G9" t="s">
        <v>497</v>
      </c>
    </row>
    <row r="10" spans="1:9">
      <c r="A10" s="178">
        <v>80</v>
      </c>
      <c r="B10" s="178" t="s">
        <v>413</v>
      </c>
      <c r="C10" s="178">
        <v>3264716.18</v>
      </c>
      <c r="D10" s="178">
        <v>0</v>
      </c>
      <c r="E10" s="178">
        <v>3264716.18</v>
      </c>
      <c r="F10">
        <v>3264716.18</v>
      </c>
      <c r="G10" t="s">
        <v>497</v>
      </c>
    </row>
    <row r="11" spans="1:9">
      <c r="A11" s="178">
        <v>90</v>
      </c>
      <c r="B11" s="178" t="s">
        <v>619</v>
      </c>
      <c r="C11" s="178">
        <v>708436.15</v>
      </c>
      <c r="D11" s="178">
        <v>0</v>
      </c>
      <c r="E11" s="178">
        <v>708436.15</v>
      </c>
      <c r="F11">
        <v>708436.15</v>
      </c>
      <c r="G11" t="s">
        <v>497</v>
      </c>
    </row>
    <row r="12" spans="1:9">
      <c r="A12" s="178">
        <v>100</v>
      </c>
      <c r="B12" s="178" t="s">
        <v>620</v>
      </c>
      <c r="C12" s="178">
        <v>3627122.32</v>
      </c>
      <c r="D12" s="178">
        <v>0</v>
      </c>
      <c r="E12" s="178">
        <v>3627122.32</v>
      </c>
      <c r="F12">
        <v>3627122.32</v>
      </c>
      <c r="G12" t="s">
        <v>497</v>
      </c>
    </row>
    <row r="13" spans="1:9">
      <c r="A13" s="178">
        <v>110</v>
      </c>
      <c r="B13" s="178" t="s">
        <v>621</v>
      </c>
      <c r="C13" s="178">
        <v>26300.68</v>
      </c>
      <c r="D13" s="178">
        <v>0</v>
      </c>
      <c r="E13" s="178">
        <v>26300.68</v>
      </c>
      <c r="F13">
        <v>26300.68</v>
      </c>
      <c r="G13" t="s">
        <v>497</v>
      </c>
    </row>
    <row r="14" spans="1:9">
      <c r="A14" s="178">
        <v>120</v>
      </c>
      <c r="B14" s="178" t="s">
        <v>622</v>
      </c>
      <c r="C14" s="178">
        <v>-263649.8</v>
      </c>
      <c r="D14" s="178">
        <v>0</v>
      </c>
      <c r="E14" s="178">
        <v>-263649.8</v>
      </c>
      <c r="F14">
        <v>-263649.8</v>
      </c>
      <c r="G14" t="s">
        <v>497</v>
      </c>
    </row>
    <row r="15" spans="1:9">
      <c r="A15" s="178">
        <v>130</v>
      </c>
      <c r="B15" s="178" t="s">
        <v>623</v>
      </c>
      <c r="C15" s="178">
        <v>713413.55</v>
      </c>
      <c r="D15" s="178">
        <v>0</v>
      </c>
      <c r="E15" s="178">
        <v>713413.55</v>
      </c>
      <c r="F15">
        <v>713413.55</v>
      </c>
      <c r="G15" t="s">
        <v>497</v>
      </c>
    </row>
    <row r="16" spans="1:9">
      <c r="A16" s="178">
        <v>140</v>
      </c>
      <c r="B16" s="178" t="s">
        <v>624</v>
      </c>
      <c r="C16" s="178">
        <v>18106.25</v>
      </c>
      <c r="D16" s="178">
        <v>0</v>
      </c>
      <c r="E16" s="178">
        <v>18106.25</v>
      </c>
      <c r="F16">
        <v>18106.25</v>
      </c>
      <c r="G16" t="s">
        <v>497</v>
      </c>
    </row>
    <row r="17" spans="1:9">
      <c r="A17" s="178">
        <v>145</v>
      </c>
      <c r="B17" s="178" t="s">
        <v>422</v>
      </c>
      <c r="C17" s="178">
        <v>457958.18</v>
      </c>
      <c r="D17" s="178">
        <v>0</v>
      </c>
      <c r="E17" s="178">
        <v>457958.18</v>
      </c>
      <c r="F17">
        <v>457958.18</v>
      </c>
      <c r="G17" t="s">
        <v>497</v>
      </c>
    </row>
    <row r="18" spans="1:9">
      <c r="A18" s="178">
        <v>150</v>
      </c>
      <c r="B18" s="178" t="s">
        <v>625</v>
      </c>
      <c r="C18" s="178">
        <v>3169164.14</v>
      </c>
      <c r="D18" s="178">
        <v>0</v>
      </c>
      <c r="E18" s="178">
        <v>3169164.14</v>
      </c>
      <c r="F18">
        <v>3169164.14</v>
      </c>
      <c r="G18" t="s">
        <v>497</v>
      </c>
    </row>
    <row r="19" spans="1:9">
      <c r="A19" s="178">
        <v>160</v>
      </c>
      <c r="B19" s="178" t="s">
        <v>626</v>
      </c>
      <c r="C19" s="178">
        <v>697855.26</v>
      </c>
      <c r="D19" s="178">
        <v>0</v>
      </c>
      <c r="E19" s="178">
        <v>697855.26</v>
      </c>
      <c r="F19">
        <v>697855.26</v>
      </c>
      <c r="G19" t="s">
        <v>497</v>
      </c>
    </row>
    <row r="20" spans="1:9">
      <c r="A20" s="178">
        <v>170</v>
      </c>
      <c r="B20" s="178" t="s">
        <v>426</v>
      </c>
      <c r="C20" s="178">
        <v>2471308.88</v>
      </c>
      <c r="D20" s="178">
        <v>0</v>
      </c>
      <c r="E20" s="178">
        <v>2471308.88</v>
      </c>
      <c r="F20">
        <v>2471308.88</v>
      </c>
      <c r="G20" t="s">
        <v>497</v>
      </c>
    </row>
    <row r="21" spans="1:9">
      <c r="A21" s="178">
        <v>190</v>
      </c>
      <c r="B21" s="178" t="s">
        <v>627</v>
      </c>
      <c r="C21" s="178">
        <v>0</v>
      </c>
      <c r="D21" s="178">
        <v>0</v>
      </c>
      <c r="E21" s="178">
        <v>0</v>
      </c>
      <c r="F21">
        <v>0</v>
      </c>
      <c r="G21" t="s">
        <v>497</v>
      </c>
    </row>
    <row r="22" spans="1:9">
      <c r="A22" s="178">
        <v>200</v>
      </c>
      <c r="B22" s="178" t="s">
        <v>426</v>
      </c>
      <c r="C22" s="178">
        <v>2471308.88</v>
      </c>
      <c r="D22" s="178">
        <v>0</v>
      </c>
      <c r="E22" s="178">
        <v>2471308.88</v>
      </c>
      <c r="F22">
        <v>2471308.88</v>
      </c>
      <c r="G22" t="s">
        <v>497</v>
      </c>
    </row>
    <row r="23" spans="1:9">
      <c r="A23" s="178">
        <v>210</v>
      </c>
      <c r="B23" s="178" t="s">
        <v>264</v>
      </c>
      <c r="C23" s="178">
        <v>2471308.88</v>
      </c>
      <c r="D23" s="178">
        <v>0</v>
      </c>
      <c r="E23" s="178">
        <v>2471308.88</v>
      </c>
      <c r="F23">
        <v>2471308.88</v>
      </c>
      <c r="G23" t="s">
        <v>497</v>
      </c>
    </row>
    <row r="24" spans="1:9">
      <c r="A24" s="178">
        <v>220</v>
      </c>
      <c r="B24" s="178" t="s">
        <v>628</v>
      </c>
      <c r="C24" s="178">
        <v>0</v>
      </c>
      <c r="D24" s="178">
        <v>0</v>
      </c>
      <c r="E24" s="178">
        <v>0</v>
      </c>
      <c r="F24">
        <v>0</v>
      </c>
      <c r="G24" t="s">
        <v>497</v>
      </c>
    </row>
    <row r="25" spans="1:9">
      <c r="A25" s="178">
        <v>230</v>
      </c>
      <c r="B25" s="178" t="s">
        <v>266</v>
      </c>
      <c r="C25" s="178">
        <v>0</v>
      </c>
      <c r="D25" s="178">
        <v>0</v>
      </c>
      <c r="E25" s="178">
        <v>0</v>
      </c>
      <c r="F25">
        <v>0</v>
      </c>
      <c r="G25" t="s">
        <v>497</v>
      </c>
    </row>
    <row r="26" spans="1:9">
      <c r="A26" s="178">
        <v>235</v>
      </c>
      <c r="B26" s="178" t="s">
        <v>629</v>
      </c>
      <c r="C26" s="178">
        <v>-14011.43</v>
      </c>
      <c r="D26" s="178">
        <v>-42802.77</v>
      </c>
      <c r="E26" s="178">
        <v>-56814.2</v>
      </c>
      <c r="F26">
        <v>-14011.43</v>
      </c>
      <c r="G26" t="s">
        <v>497</v>
      </c>
    </row>
    <row r="27" spans="1:9">
      <c r="A27" s="178">
        <v>240</v>
      </c>
      <c r="B27" s="178" t="s">
        <v>267</v>
      </c>
      <c r="C27" s="178">
        <v>-4835491</v>
      </c>
      <c r="D27" s="178">
        <v>-63813870.1</v>
      </c>
      <c r="E27" s="178">
        <v>-68649361.1</v>
      </c>
      <c r="F27">
        <v>-4835491</v>
      </c>
      <c r="G27" t="s">
        <v>497</v>
      </c>
    </row>
    <row r="28" spans="1:9">
      <c r="A28" s="178">
        <v>250</v>
      </c>
      <c r="B28" s="178" t="s">
        <v>268</v>
      </c>
      <c r="C28" s="178">
        <v>437242.31</v>
      </c>
      <c r="D28" s="178">
        <v>-5680864.22</v>
      </c>
      <c r="E28" s="178">
        <v>-5243621.91</v>
      </c>
      <c r="F28">
        <v>437242.31</v>
      </c>
      <c r="G28" t="s">
        <v>497</v>
      </c>
    </row>
    <row r="29" spans="1:9">
      <c r="A29" s="178">
        <v>260</v>
      </c>
      <c r="B29" s="178" t="s">
        <v>630</v>
      </c>
      <c r="C29" s="178">
        <v>-100004.36</v>
      </c>
      <c r="D29" s="178">
        <v>-11626137.66</v>
      </c>
      <c r="E29" s="178">
        <v>-11726142.02</v>
      </c>
      <c r="F29">
        <v>-100004.36</v>
      </c>
      <c r="G29" t="s">
        <v>497</v>
      </c>
    </row>
    <row r="30" spans="1:9">
      <c r="A30" s="178">
        <v>270</v>
      </c>
      <c r="B30" s="178" t="s">
        <v>269</v>
      </c>
      <c r="C30" s="178">
        <v>1563254.88</v>
      </c>
      <c r="D30" s="178">
        <v>-1357916.75</v>
      </c>
      <c r="E30" s="178">
        <v>205338.13</v>
      </c>
      <c r="F30">
        <v>1563254.88</v>
      </c>
      <c r="G30" t="s">
        <v>497</v>
      </c>
    </row>
    <row r="31" spans="1:9">
      <c r="A31" s="178">
        <v>300</v>
      </c>
      <c r="B31" s="178" t="s">
        <v>270</v>
      </c>
      <c r="C31" s="178">
        <v>-2596975</v>
      </c>
      <c r="D31" s="178">
        <v>506182.08</v>
      </c>
      <c r="E31" s="178">
        <v>-2090792.92</v>
      </c>
      <c r="F31">
        <v>-2596975</v>
      </c>
      <c r="G31" t="s">
        <v>497</v>
      </c>
    </row>
    <row r="32" spans="1:9">
      <c r="A32" s="178">
        <v>310</v>
      </c>
      <c r="B32" s="178" t="s">
        <v>631</v>
      </c>
      <c r="C32" s="178">
        <v>-8875.02</v>
      </c>
      <c r="D32" s="178">
        <v>-55843.22</v>
      </c>
      <c r="E32" s="178">
        <v>-64718.24</v>
      </c>
      <c r="F32">
        <v>-8875.02</v>
      </c>
      <c r="G32" t="s">
        <v>497</v>
      </c>
    </row>
    <row r="33" spans="1:9">
      <c r="A33" s="178">
        <v>320</v>
      </c>
      <c r="B33" s="178" t="s">
        <v>271</v>
      </c>
      <c r="C33" s="178">
        <v>-1925673.92</v>
      </c>
      <c r="D33" s="178">
        <v>78305527.21</v>
      </c>
      <c r="E33" s="178">
        <v>76379853.29</v>
      </c>
      <c r="F33">
        <v>-1925673.92</v>
      </c>
      <c r="G33" t="s">
        <v>497</v>
      </c>
    </row>
    <row r="34" spans="1:9">
      <c r="A34" s="178">
        <v>325</v>
      </c>
      <c r="B34" s="178" t="s">
        <v>272</v>
      </c>
      <c r="C34" s="178">
        <v>-4066.73</v>
      </c>
      <c r="D34" s="178">
        <v>7448517.04</v>
      </c>
      <c r="E34" s="178">
        <v>7444450.31</v>
      </c>
      <c r="F34">
        <v>-4066.73</v>
      </c>
      <c r="G34" t="s">
        <v>497</v>
      </c>
    </row>
    <row r="35" spans="1:9">
      <c r="A35" s="178">
        <v>330</v>
      </c>
      <c r="B35" s="178" t="s">
        <v>632</v>
      </c>
      <c r="C35" s="178">
        <v>-617635.25</v>
      </c>
      <c r="D35" s="178">
        <v>7820817.82</v>
      </c>
      <c r="E35" s="178">
        <v>7203182.57</v>
      </c>
      <c r="F35">
        <v>-617635.25</v>
      </c>
      <c r="G35" t="s">
        <v>497</v>
      </c>
    </row>
    <row r="36" spans="1:9">
      <c r="A36" s="178">
        <v>340</v>
      </c>
      <c r="B36" s="178" t="s">
        <v>633</v>
      </c>
      <c r="C36" s="178">
        <v>-905223.02</v>
      </c>
      <c r="D36" s="178">
        <v>3263151.57</v>
      </c>
      <c r="E36" s="178">
        <v>2357928.55</v>
      </c>
      <c r="F36">
        <v>-905223.02</v>
      </c>
      <c r="G36" t="s">
        <v>497</v>
      </c>
    </row>
    <row r="37" spans="1:9">
      <c r="A37" s="178">
        <v>380</v>
      </c>
      <c r="B37" s="178" t="s">
        <v>634</v>
      </c>
      <c r="C37" s="178">
        <v>-9007458.54</v>
      </c>
      <c r="D37" s="178">
        <v>14766761</v>
      </c>
      <c r="E37" s="178">
        <v>5759302.46</v>
      </c>
      <c r="F37">
        <v>-9007458.54</v>
      </c>
      <c r="G37" t="s">
        <v>497</v>
      </c>
    </row>
    <row r="38" spans="1:9">
      <c r="A38" s="178">
        <v>390</v>
      </c>
      <c r="B38" s="178" t="s">
        <v>273</v>
      </c>
      <c r="C38" s="178">
        <v>0</v>
      </c>
      <c r="D38" s="178">
        <v>0</v>
      </c>
      <c r="E38" s="178">
        <v>0</v>
      </c>
      <c r="F38">
        <v>0</v>
      </c>
      <c r="G38" t="s">
        <v>497</v>
      </c>
    </row>
    <row r="39" spans="1:9">
      <c r="A39" s="178">
        <v>400</v>
      </c>
      <c r="B39" s="178" t="s">
        <v>274</v>
      </c>
      <c r="C39" s="178">
        <v>3748957.78</v>
      </c>
      <c r="D39" s="178">
        <v>6492691.22</v>
      </c>
      <c r="E39" s="178">
        <v>10241649</v>
      </c>
      <c r="F39">
        <v>3748957.78</v>
      </c>
      <c r="G39" t="s">
        <v>497</v>
      </c>
    </row>
    <row r="40" spans="1:9">
      <c r="A40" s="178">
        <v>405</v>
      </c>
      <c r="B40" s="178" t="s">
        <v>275</v>
      </c>
      <c r="C40" s="178">
        <v>-0.24</v>
      </c>
      <c r="D40" s="178">
        <v>178685.07</v>
      </c>
      <c r="E40" s="178">
        <v>178684.83</v>
      </c>
      <c r="F40">
        <v>-0.24</v>
      </c>
      <c r="G40" t="s">
        <v>497</v>
      </c>
    </row>
    <row r="41" spans="1:9">
      <c r="A41" s="178">
        <v>410</v>
      </c>
      <c r="B41" s="178" t="s">
        <v>276</v>
      </c>
      <c r="C41" s="178">
        <v>0</v>
      </c>
      <c r="D41" s="178">
        <v>7683650</v>
      </c>
      <c r="E41" s="178">
        <v>7683650</v>
      </c>
      <c r="F41">
        <v>0</v>
      </c>
      <c r="G41" t="s">
        <v>497</v>
      </c>
    </row>
    <row r="42" spans="1:9">
      <c r="A42" s="178">
        <v>420</v>
      </c>
      <c r="B42" s="178" t="s">
        <v>277</v>
      </c>
      <c r="C42" s="178">
        <v>0</v>
      </c>
      <c r="D42" s="178">
        <v>-4906411.97</v>
      </c>
      <c r="E42" s="178">
        <v>-4906411.97</v>
      </c>
      <c r="F42">
        <v>0</v>
      </c>
      <c r="G42" t="s">
        <v>497</v>
      </c>
    </row>
    <row r="43" spans="1:9">
      <c r="A43" s="178">
        <v>425</v>
      </c>
      <c r="B43" s="178" t="s">
        <v>635</v>
      </c>
      <c r="C43" s="178">
        <v>0</v>
      </c>
      <c r="D43" s="178">
        <v>868230.6</v>
      </c>
      <c r="E43" s="178">
        <v>868230.6</v>
      </c>
      <c r="F43">
        <v>0</v>
      </c>
      <c r="G43" t="s">
        <v>497</v>
      </c>
    </row>
    <row r="44" spans="1:9">
      <c r="A44" s="178">
        <v>427</v>
      </c>
      <c r="B44" s="178" t="s">
        <v>636</v>
      </c>
      <c r="C44" s="178">
        <v>0</v>
      </c>
      <c r="D44" s="178">
        <v>25647.4</v>
      </c>
      <c r="E44" s="178">
        <v>25647.4</v>
      </c>
      <c r="F44">
        <v>0</v>
      </c>
      <c r="G44" t="s">
        <v>497</v>
      </c>
    </row>
    <row r="45" spans="1:9">
      <c r="A45" s="178">
        <v>430</v>
      </c>
      <c r="B45" s="178" t="s">
        <v>279</v>
      </c>
      <c r="C45" s="178">
        <v>0</v>
      </c>
      <c r="D45" s="178">
        <v>82090119.42</v>
      </c>
      <c r="E45" s="178">
        <v>82090119.42</v>
      </c>
      <c r="F45">
        <v>0</v>
      </c>
      <c r="G45" t="s">
        <v>497</v>
      </c>
    </row>
    <row r="46" spans="1:9">
      <c r="A46" s="178">
        <v>440</v>
      </c>
      <c r="B46" s="178" t="s">
        <v>280</v>
      </c>
      <c r="C46" s="178">
        <v>3748957.54</v>
      </c>
      <c r="D46" s="178">
        <v>92432611.74</v>
      </c>
      <c r="E46" s="178">
        <v>96181569.28</v>
      </c>
      <c r="F46">
        <v>3748957.54</v>
      </c>
      <c r="G46" t="s">
        <v>497</v>
      </c>
    </row>
    <row r="47" spans="1:9">
      <c r="A47" s="178">
        <v>450</v>
      </c>
      <c r="B47" s="178" t="s">
        <v>281</v>
      </c>
      <c r="C47" s="178">
        <v>0</v>
      </c>
      <c r="D47" s="178">
        <v>0</v>
      </c>
      <c r="E47" s="178">
        <v>0</v>
      </c>
      <c r="F47">
        <v>0</v>
      </c>
      <c r="G47" t="s">
        <v>497</v>
      </c>
    </row>
    <row r="48" spans="1:9">
      <c r="A48" s="178">
        <v>455</v>
      </c>
      <c r="B48" s="178" t="s">
        <v>282</v>
      </c>
      <c r="C48" s="178">
        <v>0</v>
      </c>
      <c r="D48" s="178">
        <v>-22996599.93</v>
      </c>
      <c r="E48" s="178">
        <v>-22996599.93</v>
      </c>
      <c r="F48">
        <v>0</v>
      </c>
      <c r="G48" t="s">
        <v>497</v>
      </c>
    </row>
    <row r="49" spans="1:9">
      <c r="A49" s="178">
        <v>456</v>
      </c>
      <c r="B49" s="178" t="s">
        <v>637</v>
      </c>
      <c r="C49" s="178">
        <v>67468.62</v>
      </c>
      <c r="D49" s="178">
        <v>13868499.44</v>
      </c>
      <c r="E49" s="178">
        <v>13935968.06</v>
      </c>
      <c r="F49">
        <v>67468.62</v>
      </c>
      <c r="G49" t="s">
        <v>497</v>
      </c>
    </row>
    <row r="50" spans="1:9">
      <c r="A50" s="178">
        <v>460</v>
      </c>
      <c r="B50" s="178" t="s">
        <v>283</v>
      </c>
      <c r="C50" s="178">
        <v>-12680</v>
      </c>
      <c r="D50" s="178">
        <v>-114534791.65</v>
      </c>
      <c r="E50" s="178">
        <v>-114547471.65</v>
      </c>
      <c r="F50">
        <v>-12680</v>
      </c>
      <c r="G50" t="s">
        <v>497</v>
      </c>
    </row>
    <row r="51" spans="1:9">
      <c r="A51" s="178">
        <v>470</v>
      </c>
      <c r="B51" s="178" t="s">
        <v>638</v>
      </c>
      <c r="C51" s="178">
        <v>457056.83</v>
      </c>
      <c r="D51" s="178">
        <v>93457937.74</v>
      </c>
      <c r="E51" s="178">
        <v>93914994.57</v>
      </c>
      <c r="F51">
        <v>457056.83</v>
      </c>
      <c r="G51" t="s">
        <v>497</v>
      </c>
    </row>
    <row r="52" spans="1:9">
      <c r="A52" s="178">
        <v>480</v>
      </c>
      <c r="B52" s="178" t="s">
        <v>284</v>
      </c>
      <c r="C52" s="178">
        <v>-85965.51</v>
      </c>
      <c r="D52" s="178">
        <v>-21146648.61</v>
      </c>
      <c r="E52" s="178">
        <v>-21232614.12</v>
      </c>
      <c r="F52">
        <v>-85965.51</v>
      </c>
      <c r="G52" t="s">
        <v>497</v>
      </c>
    </row>
    <row r="53" spans="1:9">
      <c r="A53" s="178">
        <v>490</v>
      </c>
      <c r="B53" s="178" t="s">
        <v>639</v>
      </c>
      <c r="C53" s="178">
        <v>61711.6</v>
      </c>
      <c r="D53" s="178">
        <v>15248693.85</v>
      </c>
      <c r="E53" s="178">
        <v>15310405.45</v>
      </c>
      <c r="F53">
        <v>61711.6</v>
      </c>
      <c r="G53" t="s">
        <v>497</v>
      </c>
    </row>
    <row r="54" spans="1:9">
      <c r="A54" s="178">
        <v>500</v>
      </c>
      <c r="B54" s="178" t="s">
        <v>285</v>
      </c>
      <c r="C54" s="178">
        <v>0</v>
      </c>
      <c r="D54" s="178">
        <v>-25515944.93</v>
      </c>
      <c r="E54" s="178">
        <v>-25515944.93</v>
      </c>
      <c r="F54">
        <v>0</v>
      </c>
      <c r="G54" t="s">
        <v>497</v>
      </c>
    </row>
    <row r="55" spans="1:9">
      <c r="A55" s="178">
        <v>510</v>
      </c>
      <c r="B55" s="178" t="s">
        <v>640</v>
      </c>
      <c r="C55" s="178">
        <v>118925.7</v>
      </c>
      <c r="D55" s="178">
        <v>15292846.87</v>
      </c>
      <c r="E55" s="178">
        <v>15411772.57</v>
      </c>
      <c r="F55">
        <v>118925.7</v>
      </c>
      <c r="G55" t="s">
        <v>497</v>
      </c>
    </row>
    <row r="56" spans="1:9">
      <c r="A56" s="178">
        <v>512</v>
      </c>
      <c r="B56" s="178" t="s">
        <v>286</v>
      </c>
      <c r="C56" s="178">
        <v>0</v>
      </c>
      <c r="D56" s="178">
        <v>-1788829.5</v>
      </c>
      <c r="E56" s="178">
        <v>-1788829.5</v>
      </c>
      <c r="F56">
        <v>0</v>
      </c>
      <c r="G56" t="s">
        <v>497</v>
      </c>
    </row>
    <row r="57" spans="1:9">
      <c r="A57" s="178">
        <v>514</v>
      </c>
      <c r="B57" s="178" t="s">
        <v>641</v>
      </c>
      <c r="C57" s="178">
        <v>3273.4</v>
      </c>
      <c r="D57" s="178">
        <v>4720187.2</v>
      </c>
      <c r="E57" s="178">
        <v>4723460.6</v>
      </c>
      <c r="F57">
        <v>3273.4</v>
      </c>
      <c r="G57" t="s">
        <v>497</v>
      </c>
    </row>
    <row r="58" spans="1:9">
      <c r="A58" s="178">
        <v>520</v>
      </c>
      <c r="B58" s="178" t="s">
        <v>642</v>
      </c>
      <c r="C58" s="178">
        <v>0</v>
      </c>
      <c r="D58" s="178">
        <v>-1242880.15</v>
      </c>
      <c r="E58" s="178">
        <v>-1242880.15</v>
      </c>
      <c r="F58">
        <v>0</v>
      </c>
      <c r="G58" t="s">
        <v>497</v>
      </c>
    </row>
    <row r="59" spans="1:9">
      <c r="A59" s="178">
        <v>530</v>
      </c>
      <c r="B59" s="178" t="s">
        <v>643</v>
      </c>
      <c r="C59" s="178">
        <v>0</v>
      </c>
      <c r="D59" s="178">
        <v>0</v>
      </c>
      <c r="E59" s="178">
        <v>0</v>
      </c>
      <c r="F59">
        <v>0</v>
      </c>
      <c r="G59" t="s">
        <v>497</v>
      </c>
    </row>
    <row r="60" spans="1:9">
      <c r="A60" s="178">
        <v>540</v>
      </c>
      <c r="B60" s="178" t="s">
        <v>644</v>
      </c>
      <c r="C60" s="178">
        <v>0</v>
      </c>
      <c r="D60" s="178">
        <v>-536164.57</v>
      </c>
      <c r="E60" s="178">
        <v>-536164.57</v>
      </c>
      <c r="F60">
        <v>0</v>
      </c>
      <c r="G60" t="s">
        <v>497</v>
      </c>
    </row>
    <row r="61" spans="1:9">
      <c r="A61" s="178">
        <v>550</v>
      </c>
      <c r="B61" s="178" t="s">
        <v>645</v>
      </c>
      <c r="C61" s="178">
        <v>0</v>
      </c>
      <c r="D61" s="178">
        <v>1775864.44</v>
      </c>
      <c r="E61" s="178">
        <v>1775864.44</v>
      </c>
      <c r="F61">
        <v>0</v>
      </c>
      <c r="G61" t="s">
        <v>497</v>
      </c>
    </row>
    <row r="62" spans="1:9">
      <c r="A62" s="178">
        <v>560</v>
      </c>
      <c r="B62" s="178" t="s">
        <v>646</v>
      </c>
      <c r="C62" s="178">
        <v>20957.86</v>
      </c>
      <c r="D62" s="178">
        <v>-3758667.06</v>
      </c>
      <c r="E62" s="178">
        <v>-3737709.2</v>
      </c>
      <c r="F62">
        <v>20957.86</v>
      </c>
      <c r="G62" t="s">
        <v>497</v>
      </c>
    </row>
    <row r="63" spans="1:9">
      <c r="A63" s="178">
        <v>570</v>
      </c>
      <c r="B63" s="178" t="s">
        <v>647</v>
      </c>
      <c r="C63" s="178">
        <v>0</v>
      </c>
      <c r="D63" s="178">
        <v>0</v>
      </c>
      <c r="E63" s="178">
        <v>0</v>
      </c>
      <c r="F63">
        <v>0</v>
      </c>
      <c r="G63" t="s">
        <v>497</v>
      </c>
    </row>
    <row r="64" spans="1:9">
      <c r="A64" s="178">
        <v>580</v>
      </c>
      <c r="B64" s="178" t="s">
        <v>290</v>
      </c>
      <c r="C64" s="178">
        <v>0</v>
      </c>
      <c r="D64" s="178">
        <v>-45528.08</v>
      </c>
      <c r="E64" s="178">
        <v>-45528.08</v>
      </c>
      <c r="F64">
        <v>0</v>
      </c>
      <c r="G64" t="s">
        <v>497</v>
      </c>
    </row>
    <row r="65" spans="1:9">
      <c r="A65" s="178">
        <v>590</v>
      </c>
      <c r="B65" s="178" t="s">
        <v>648</v>
      </c>
      <c r="C65" s="178">
        <v>0</v>
      </c>
      <c r="D65" s="178">
        <v>0</v>
      </c>
      <c r="E65" s="178">
        <v>0</v>
      </c>
      <c r="F65">
        <v>0</v>
      </c>
      <c r="G65" t="s">
        <v>497</v>
      </c>
    </row>
    <row r="66" spans="1:9">
      <c r="A66" s="178">
        <v>600</v>
      </c>
      <c r="B66" s="178" t="s">
        <v>291</v>
      </c>
      <c r="C66" s="178">
        <v>0</v>
      </c>
      <c r="D66" s="178">
        <v>-48384340.93</v>
      </c>
      <c r="E66" s="178">
        <v>-48384340.93</v>
      </c>
      <c r="F66">
        <v>0</v>
      </c>
      <c r="G66" t="s">
        <v>497</v>
      </c>
    </row>
    <row r="67" spans="1:9">
      <c r="A67" s="178">
        <v>610</v>
      </c>
      <c r="B67" s="178" t="s">
        <v>649</v>
      </c>
      <c r="C67" s="178">
        <v>0</v>
      </c>
      <c r="D67" s="178">
        <v>16990144.24</v>
      </c>
      <c r="E67" s="178">
        <v>16990144.24</v>
      </c>
      <c r="F67">
        <v>0</v>
      </c>
      <c r="G67" t="s">
        <v>497</v>
      </c>
    </row>
    <row r="68" spans="1:9">
      <c r="A68" s="178">
        <v>620</v>
      </c>
      <c r="B68" s="178" t="s">
        <v>292</v>
      </c>
      <c r="C68" s="178">
        <v>0</v>
      </c>
      <c r="D68" s="178">
        <v>-5100000</v>
      </c>
      <c r="E68" s="178">
        <v>-5100000</v>
      </c>
      <c r="F68">
        <v>0</v>
      </c>
      <c r="G68" t="s">
        <v>497</v>
      </c>
    </row>
    <row r="69" spans="1:9">
      <c r="A69" s="178">
        <v>630</v>
      </c>
      <c r="B69" s="178" t="s">
        <v>293</v>
      </c>
      <c r="C69" s="178">
        <v>0</v>
      </c>
      <c r="D69" s="178">
        <v>0</v>
      </c>
      <c r="E69" s="178">
        <v>0</v>
      </c>
      <c r="F69">
        <v>0</v>
      </c>
      <c r="G69" t="s">
        <v>497</v>
      </c>
    </row>
    <row r="70" spans="1:9">
      <c r="A70" s="178">
        <v>640</v>
      </c>
      <c r="B70" s="178" t="s">
        <v>294</v>
      </c>
      <c r="C70" s="178">
        <v>630748.5</v>
      </c>
      <c r="D70" s="178">
        <v>-83696221.63</v>
      </c>
      <c r="E70" s="178">
        <v>-83065473.13</v>
      </c>
      <c r="F70">
        <v>630748.5</v>
      </c>
      <c r="G70" t="s">
        <v>497</v>
      </c>
    </row>
    <row r="71" spans="1:9">
      <c r="A71" s="178">
        <v>650</v>
      </c>
      <c r="B71" s="178" t="s">
        <v>295</v>
      </c>
      <c r="C71" s="178">
        <v>-2156443.62</v>
      </c>
      <c r="D71" s="178">
        <v>23503151.11</v>
      </c>
      <c r="E71" s="178">
        <v>21346707.49</v>
      </c>
      <c r="F71">
        <v>-2156443.62</v>
      </c>
      <c r="G71" t="s">
        <v>497</v>
      </c>
    </row>
    <row r="72" spans="1:9">
      <c r="A72" s="178" t="s">
        <v>428</v>
      </c>
      <c r="B72" s="178" t="s">
        <v>402</v>
      </c>
      <c r="C72" s="178" t="s">
        <v>609</v>
      </c>
      <c r="D72" s="178" t="s">
        <v>610</v>
      </c>
      <c r="E72" s="178" t="s">
        <v>611</v>
      </c>
      <c r="F72" t="s">
        <v>612</v>
      </c>
      <c r="G72" t="s">
        <v>405</v>
      </c>
    </row>
    <row r="73" spans="1:9">
      <c r="A73" s="178">
        <v>10</v>
      </c>
      <c r="B73" s="178" t="s">
        <v>613</v>
      </c>
      <c r="C73" s="178">
        <v>0</v>
      </c>
      <c r="D73" s="178">
        <v>0</v>
      </c>
      <c r="E73" s="178">
        <v>0</v>
      </c>
      <c r="F73">
        <v>0</v>
      </c>
      <c r="G73" t="s">
        <v>497</v>
      </c>
    </row>
    <row r="74" spans="1:9">
      <c r="A74" s="178">
        <v>20</v>
      </c>
      <c r="B74" s="178" t="s">
        <v>406</v>
      </c>
      <c r="C74" s="178">
        <v>6267746.32</v>
      </c>
      <c r="D74" s="178">
        <v>0</v>
      </c>
      <c r="E74" s="178">
        <v>6267746.32</v>
      </c>
      <c r="F74">
        <v>6267746.32</v>
      </c>
      <c r="G74" t="s">
        <v>497</v>
      </c>
    </row>
    <row r="75" spans="1:9">
      <c r="A75" s="178">
        <v>30</v>
      </c>
      <c r="B75" s="178" t="s">
        <v>614</v>
      </c>
      <c r="C75" s="178">
        <v>2080</v>
      </c>
      <c r="D75" s="178">
        <v>0</v>
      </c>
      <c r="E75" s="178">
        <v>2080</v>
      </c>
      <c r="F75">
        <v>2080</v>
      </c>
      <c r="G75" t="s">
        <v>497</v>
      </c>
    </row>
    <row r="76" spans="1:9">
      <c r="A76" s="178">
        <v>35</v>
      </c>
      <c r="B76" s="178" t="s">
        <v>615</v>
      </c>
      <c r="C76" s="178">
        <v>6265666.32</v>
      </c>
      <c r="D76" s="178">
        <v>0</v>
      </c>
      <c r="E76" s="178">
        <v>6265666.32</v>
      </c>
      <c r="F76">
        <v>6265666.32</v>
      </c>
      <c r="G76" t="s">
        <v>497</v>
      </c>
    </row>
    <row r="77" spans="1:9">
      <c r="A77" s="178">
        <v>40</v>
      </c>
      <c r="B77" s="178" t="s">
        <v>616</v>
      </c>
      <c r="C77" s="178">
        <v>3392028.75</v>
      </c>
      <c r="D77" s="178">
        <v>0</v>
      </c>
      <c r="E77" s="178">
        <v>3392028.75</v>
      </c>
      <c r="F77">
        <v>3392028.75</v>
      </c>
      <c r="G77" t="s">
        <v>497</v>
      </c>
    </row>
    <row r="78" spans="1:9">
      <c r="A78" s="178">
        <v>50</v>
      </c>
      <c r="B78" s="178" t="s">
        <v>617</v>
      </c>
      <c r="C78" s="178">
        <v>0</v>
      </c>
      <c r="D78" s="178">
        <v>0</v>
      </c>
      <c r="E78" s="178">
        <v>0</v>
      </c>
      <c r="F78">
        <v>0</v>
      </c>
      <c r="G78" t="s">
        <v>497</v>
      </c>
    </row>
    <row r="79" spans="1:9">
      <c r="A79" s="178">
        <v>60</v>
      </c>
      <c r="B79" s="178" t="s">
        <v>618</v>
      </c>
      <c r="C79" s="178">
        <v>2873637.57</v>
      </c>
      <c r="D79" s="178">
        <v>0</v>
      </c>
      <c r="E79" s="178">
        <v>2873637.57</v>
      </c>
      <c r="F79">
        <v>2873637.57</v>
      </c>
      <c r="G79" t="s">
        <v>497</v>
      </c>
    </row>
    <row r="80" spans="1:9">
      <c r="A80" s="178">
        <v>70</v>
      </c>
      <c r="B80" s="178" t="s">
        <v>412</v>
      </c>
      <c r="C80" s="178">
        <v>0</v>
      </c>
      <c r="D80" s="178">
        <v>0</v>
      </c>
      <c r="E80" s="178">
        <v>0</v>
      </c>
      <c r="F80">
        <v>0</v>
      </c>
      <c r="G80" t="s">
        <v>497</v>
      </c>
    </row>
    <row r="81" spans="1:9">
      <c r="A81" s="178">
        <v>80</v>
      </c>
      <c r="B81" s="178" t="s">
        <v>413</v>
      </c>
      <c r="C81" s="178">
        <v>1410237.4</v>
      </c>
      <c r="D81" s="178">
        <v>0</v>
      </c>
      <c r="E81" s="178">
        <v>1410237.4</v>
      </c>
      <c r="F81">
        <v>1410237.4</v>
      </c>
      <c r="G81" t="s">
        <v>497</v>
      </c>
    </row>
    <row r="82" spans="1:9">
      <c r="A82" s="178">
        <v>90</v>
      </c>
      <c r="B82" s="178" t="s">
        <v>619</v>
      </c>
      <c r="C82" s="178">
        <v>0</v>
      </c>
      <c r="D82" s="178">
        <v>0</v>
      </c>
      <c r="E82" s="178">
        <v>0</v>
      </c>
      <c r="F82">
        <v>0</v>
      </c>
      <c r="G82" t="s">
        <v>497</v>
      </c>
    </row>
    <row r="83" spans="1:9">
      <c r="A83" s="178">
        <v>100</v>
      </c>
      <c r="B83" s="178" t="s">
        <v>620</v>
      </c>
      <c r="C83" s="178">
        <v>1463400.17</v>
      </c>
      <c r="D83" s="178">
        <v>0</v>
      </c>
      <c r="E83" s="178">
        <v>1463400.17</v>
      </c>
      <c r="F83">
        <v>1463400.17</v>
      </c>
      <c r="G83" t="s">
        <v>497</v>
      </c>
    </row>
    <row r="84" spans="1:9">
      <c r="A84" s="178">
        <v>110</v>
      </c>
      <c r="B84" s="178" t="s">
        <v>621</v>
      </c>
      <c r="C84" s="178">
        <v>140814.06</v>
      </c>
      <c r="D84" s="178">
        <v>0</v>
      </c>
      <c r="E84" s="178">
        <v>140814.06</v>
      </c>
      <c r="F84">
        <v>140814.06</v>
      </c>
      <c r="G84" t="s">
        <v>497</v>
      </c>
    </row>
    <row r="85" spans="1:9">
      <c r="A85" s="178">
        <v>120</v>
      </c>
      <c r="B85" s="178" t="s">
        <v>622</v>
      </c>
      <c r="C85" s="178">
        <v>16521.96</v>
      </c>
      <c r="D85" s="178">
        <v>0</v>
      </c>
      <c r="E85" s="178">
        <v>16521.96</v>
      </c>
      <c r="F85">
        <v>16521.96</v>
      </c>
      <c r="G85" t="s">
        <v>497</v>
      </c>
    </row>
    <row r="86" spans="1:9">
      <c r="A86" s="178">
        <v>130</v>
      </c>
      <c r="B86" s="178" t="s">
        <v>623</v>
      </c>
      <c r="C86" s="178">
        <v>1076.8</v>
      </c>
      <c r="D86" s="178">
        <v>0</v>
      </c>
      <c r="E86" s="178">
        <v>1076.8</v>
      </c>
      <c r="F86">
        <v>1076.8</v>
      </c>
      <c r="G86" t="s">
        <v>497</v>
      </c>
    </row>
    <row r="87" spans="1:9">
      <c r="A87" s="178">
        <v>140</v>
      </c>
      <c r="B87" s="178" t="s">
        <v>624</v>
      </c>
      <c r="C87" s="178">
        <v>8283.99</v>
      </c>
      <c r="D87" s="178">
        <v>0</v>
      </c>
      <c r="E87" s="178">
        <v>8283.99</v>
      </c>
      <c r="F87">
        <v>8283.99</v>
      </c>
      <c r="G87" t="s">
        <v>497</v>
      </c>
    </row>
    <row r="88" spans="1:9">
      <c r="A88" s="178">
        <v>145</v>
      </c>
      <c r="B88" s="178" t="s">
        <v>422</v>
      </c>
      <c r="C88" s="178">
        <v>150128.83</v>
      </c>
      <c r="D88" s="178">
        <v>0</v>
      </c>
      <c r="E88" s="178">
        <v>150128.83</v>
      </c>
      <c r="F88">
        <v>150128.83</v>
      </c>
      <c r="G88" t="s">
        <v>497</v>
      </c>
    </row>
    <row r="89" spans="1:9">
      <c r="A89" s="178">
        <v>150</v>
      </c>
      <c r="B89" s="178" t="s">
        <v>625</v>
      </c>
      <c r="C89" s="178">
        <v>1313271.34</v>
      </c>
      <c r="D89" s="178">
        <v>0</v>
      </c>
      <c r="E89" s="178">
        <v>1313271.34</v>
      </c>
      <c r="F89">
        <v>1313271.34</v>
      </c>
      <c r="G89" t="s">
        <v>497</v>
      </c>
    </row>
    <row r="90" spans="1:9">
      <c r="A90" s="178">
        <v>160</v>
      </c>
      <c r="B90" s="178" t="s">
        <v>626</v>
      </c>
      <c r="C90" s="178">
        <v>183954</v>
      </c>
      <c r="D90" s="178">
        <v>0</v>
      </c>
      <c r="E90" s="178">
        <v>183954</v>
      </c>
      <c r="F90">
        <v>183954</v>
      </c>
      <c r="G90" t="s">
        <v>497</v>
      </c>
    </row>
    <row r="91" spans="1:9">
      <c r="A91" s="178">
        <v>170</v>
      </c>
      <c r="B91" s="178" t="s">
        <v>426</v>
      </c>
      <c r="C91" s="178">
        <v>1129317.34</v>
      </c>
      <c r="D91" s="178">
        <v>0</v>
      </c>
      <c r="E91" s="178">
        <v>1129317.34</v>
      </c>
      <c r="F91">
        <v>1129317.34</v>
      </c>
      <c r="G91" t="s">
        <v>497</v>
      </c>
    </row>
    <row r="92" spans="1:9">
      <c r="A92" s="178">
        <v>190</v>
      </c>
      <c r="B92" s="178" t="s">
        <v>627</v>
      </c>
      <c r="C92" s="178">
        <v>0</v>
      </c>
      <c r="D92" s="178">
        <v>0</v>
      </c>
      <c r="E92" s="178">
        <v>0</v>
      </c>
      <c r="F92">
        <v>0</v>
      </c>
      <c r="G92" t="s">
        <v>497</v>
      </c>
    </row>
    <row r="93" spans="1:9">
      <c r="A93" s="178">
        <v>200</v>
      </c>
      <c r="B93" s="178" t="s">
        <v>426</v>
      </c>
      <c r="C93" s="178">
        <v>1129317.34</v>
      </c>
      <c r="D93" s="178">
        <v>0</v>
      </c>
      <c r="E93" s="178">
        <v>1129317.34</v>
      </c>
      <c r="F93">
        <v>1129317.34</v>
      </c>
      <c r="G93" t="s">
        <v>497</v>
      </c>
    </row>
    <row r="94" spans="1:9">
      <c r="A94" s="178">
        <v>210</v>
      </c>
      <c r="B94" s="178" t="s">
        <v>264</v>
      </c>
      <c r="C94" s="178">
        <v>1129317.34</v>
      </c>
      <c r="D94" s="178">
        <v>0</v>
      </c>
      <c r="E94" s="178">
        <v>1129317.34</v>
      </c>
      <c r="F94">
        <v>1129317.34</v>
      </c>
      <c r="G94" t="s">
        <v>497</v>
      </c>
    </row>
    <row r="95" spans="1:9">
      <c r="A95" s="178">
        <v>220</v>
      </c>
      <c r="B95" s="178" t="s">
        <v>628</v>
      </c>
      <c r="C95" s="178">
        <v>0</v>
      </c>
      <c r="D95" s="178">
        <v>0</v>
      </c>
      <c r="E95" s="178">
        <v>0</v>
      </c>
      <c r="F95">
        <v>0</v>
      </c>
      <c r="G95" t="s">
        <v>497</v>
      </c>
    </row>
    <row r="96" spans="1:9">
      <c r="A96" s="178">
        <v>230</v>
      </c>
      <c r="B96" s="178" t="s">
        <v>266</v>
      </c>
      <c r="C96" s="178">
        <v>482560.85</v>
      </c>
      <c r="D96" s="178">
        <v>-10809508.35</v>
      </c>
      <c r="E96" s="178">
        <v>-10326947.5</v>
      </c>
      <c r="F96">
        <v>482560.85</v>
      </c>
      <c r="G96" t="s">
        <v>497</v>
      </c>
    </row>
    <row r="97" spans="1:9">
      <c r="A97" s="178">
        <v>235</v>
      </c>
      <c r="B97" s="178" t="s">
        <v>629</v>
      </c>
      <c r="C97" s="178">
        <v>0</v>
      </c>
      <c r="D97" s="178">
        <v>0</v>
      </c>
      <c r="E97" s="178">
        <v>0</v>
      </c>
      <c r="F97">
        <v>0</v>
      </c>
      <c r="G97" t="s">
        <v>497</v>
      </c>
    </row>
    <row r="98" spans="1:9">
      <c r="A98" s="178">
        <v>240</v>
      </c>
      <c r="B98" s="178" t="s">
        <v>267</v>
      </c>
      <c r="C98" s="178">
        <v>172107.72</v>
      </c>
      <c r="D98" s="178">
        <v>-10045919.19</v>
      </c>
      <c r="E98" s="178">
        <v>-9873811.47</v>
      </c>
      <c r="F98">
        <v>172107.72</v>
      </c>
      <c r="G98" t="s">
        <v>497</v>
      </c>
    </row>
    <row r="99" spans="1:9">
      <c r="A99" s="178">
        <v>250</v>
      </c>
      <c r="B99" s="178" t="s">
        <v>268</v>
      </c>
      <c r="C99" s="178">
        <v>0</v>
      </c>
      <c r="D99" s="178">
        <v>0</v>
      </c>
      <c r="E99" s="178">
        <v>0</v>
      </c>
      <c r="F99">
        <v>0</v>
      </c>
      <c r="G99" t="s">
        <v>497</v>
      </c>
    </row>
    <row r="100" spans="1:9">
      <c r="A100" s="178">
        <v>260</v>
      </c>
      <c r="B100" s="178" t="s">
        <v>630</v>
      </c>
      <c r="C100" s="178">
        <v>-21392.89</v>
      </c>
      <c r="D100" s="178">
        <v>-140981.26</v>
      </c>
      <c r="E100" s="178">
        <v>-162374.15</v>
      </c>
      <c r="F100">
        <v>-21392.89</v>
      </c>
      <c r="G100" t="s">
        <v>497</v>
      </c>
    </row>
    <row r="101" spans="1:9">
      <c r="A101" s="178">
        <v>270</v>
      </c>
      <c r="B101" s="178" t="s">
        <v>269</v>
      </c>
      <c r="C101" s="178">
        <v>-1617096.83</v>
      </c>
      <c r="D101" s="178">
        <v>-6370286.58</v>
      </c>
      <c r="E101" s="178">
        <v>-7987383.41</v>
      </c>
      <c r="F101">
        <v>-1617096.83</v>
      </c>
      <c r="G101" t="s">
        <v>497</v>
      </c>
    </row>
    <row r="102" spans="1:9">
      <c r="A102" s="178">
        <v>300</v>
      </c>
      <c r="B102" s="178" t="s">
        <v>270</v>
      </c>
      <c r="C102" s="178">
        <v>0</v>
      </c>
      <c r="D102" s="178">
        <v>0</v>
      </c>
      <c r="E102" s="178">
        <v>0</v>
      </c>
      <c r="F102">
        <v>0</v>
      </c>
      <c r="G102" t="s">
        <v>497</v>
      </c>
    </row>
    <row r="103" spans="1:9">
      <c r="A103" s="178">
        <v>310</v>
      </c>
      <c r="B103" s="178" t="s">
        <v>631</v>
      </c>
      <c r="C103" s="178">
        <v>12205.8</v>
      </c>
      <c r="D103" s="178">
        <v>145121.15</v>
      </c>
      <c r="E103" s="178">
        <v>157326.95</v>
      </c>
      <c r="F103">
        <v>12205.8</v>
      </c>
      <c r="G103" t="s">
        <v>497</v>
      </c>
    </row>
    <row r="104" spans="1:9">
      <c r="A104" s="178">
        <v>320</v>
      </c>
      <c r="B104" s="178" t="s">
        <v>271</v>
      </c>
      <c r="C104" s="178">
        <v>1858204.97</v>
      </c>
      <c r="D104" s="178">
        <v>28410600.36</v>
      </c>
      <c r="E104" s="178">
        <v>30268805.33</v>
      </c>
      <c r="F104">
        <v>1858204.97</v>
      </c>
      <c r="G104" t="s">
        <v>497</v>
      </c>
    </row>
    <row r="105" spans="1:9">
      <c r="A105" s="178">
        <v>325</v>
      </c>
      <c r="B105" s="178" t="s">
        <v>272</v>
      </c>
      <c r="C105" s="178">
        <v>0</v>
      </c>
      <c r="D105" s="178">
        <v>0</v>
      </c>
      <c r="E105" s="178">
        <v>0</v>
      </c>
      <c r="F105">
        <v>0</v>
      </c>
      <c r="G105" t="s">
        <v>497</v>
      </c>
    </row>
    <row r="106" spans="1:9">
      <c r="A106" s="178">
        <v>330</v>
      </c>
      <c r="B106" s="178" t="s">
        <v>632</v>
      </c>
      <c r="C106" s="178">
        <v>44596.15</v>
      </c>
      <c r="D106" s="178">
        <v>1708557.35</v>
      </c>
      <c r="E106" s="178">
        <v>1753153.5</v>
      </c>
      <c r="F106">
        <v>44596.15</v>
      </c>
      <c r="G106" t="s">
        <v>497</v>
      </c>
    </row>
    <row r="107" spans="1:9">
      <c r="A107" s="178">
        <v>340</v>
      </c>
      <c r="B107" s="178" t="s">
        <v>633</v>
      </c>
      <c r="C107" s="178">
        <v>-256761.46</v>
      </c>
      <c r="D107" s="178">
        <v>583335.84</v>
      </c>
      <c r="E107" s="178">
        <v>326574.38</v>
      </c>
      <c r="F107">
        <v>-256761.46</v>
      </c>
      <c r="G107" t="s">
        <v>497</v>
      </c>
    </row>
    <row r="108" spans="1:9">
      <c r="A108" s="178">
        <v>380</v>
      </c>
      <c r="B108" s="178" t="s">
        <v>634</v>
      </c>
      <c r="C108" s="178">
        <v>674424.31</v>
      </c>
      <c r="D108" s="178">
        <v>3480919.32</v>
      </c>
      <c r="E108" s="178">
        <v>4155343.63</v>
      </c>
      <c r="F108">
        <v>674424.31</v>
      </c>
      <c r="G108" t="s">
        <v>497</v>
      </c>
    </row>
    <row r="109" spans="1:9">
      <c r="A109" s="178">
        <v>390</v>
      </c>
      <c r="B109" s="178" t="s">
        <v>273</v>
      </c>
      <c r="C109" s="178">
        <v>0</v>
      </c>
      <c r="D109" s="178">
        <v>0</v>
      </c>
      <c r="E109" s="178">
        <v>0</v>
      </c>
      <c r="F109">
        <v>0</v>
      </c>
      <c r="G109" t="s">
        <v>497</v>
      </c>
    </row>
    <row r="110" spans="1:9">
      <c r="A110" s="178">
        <v>400</v>
      </c>
      <c r="B110" s="178" t="s">
        <v>274</v>
      </c>
      <c r="C110" s="178">
        <v>0</v>
      </c>
      <c r="D110" s="178">
        <v>0</v>
      </c>
      <c r="E110" s="178">
        <v>0</v>
      </c>
      <c r="F110">
        <v>0</v>
      </c>
      <c r="G110" t="s">
        <v>497</v>
      </c>
    </row>
    <row r="111" spans="1:9">
      <c r="A111" s="178">
        <v>405</v>
      </c>
      <c r="B111" s="178" t="s">
        <v>275</v>
      </c>
      <c r="C111" s="178">
        <v>0</v>
      </c>
      <c r="D111" s="178">
        <v>0</v>
      </c>
      <c r="E111" s="178">
        <v>0</v>
      </c>
      <c r="F111">
        <v>0</v>
      </c>
      <c r="G111" t="s">
        <v>497</v>
      </c>
    </row>
    <row r="112" spans="1:9">
      <c r="A112" s="178">
        <v>410</v>
      </c>
      <c r="B112" s="178" t="s">
        <v>276</v>
      </c>
      <c r="C112" s="178">
        <v>0</v>
      </c>
      <c r="D112" s="178">
        <v>392000</v>
      </c>
      <c r="E112" s="178">
        <v>392000</v>
      </c>
      <c r="F112">
        <v>0</v>
      </c>
      <c r="G112" t="s">
        <v>497</v>
      </c>
    </row>
    <row r="113" spans="1:9">
      <c r="A113" s="178">
        <v>420</v>
      </c>
      <c r="B113" s="178" t="s">
        <v>277</v>
      </c>
      <c r="C113" s="178">
        <v>0</v>
      </c>
      <c r="D113" s="178">
        <v>-4212938.1</v>
      </c>
      <c r="E113" s="178">
        <v>-4212938.1</v>
      </c>
      <c r="F113">
        <v>0</v>
      </c>
      <c r="G113" t="s">
        <v>497</v>
      </c>
    </row>
    <row r="114" spans="1:9">
      <c r="A114" s="178">
        <v>425</v>
      </c>
      <c r="B114" s="178" t="s">
        <v>635</v>
      </c>
      <c r="C114" s="178">
        <v>0</v>
      </c>
      <c r="D114" s="178">
        <v>74207.2</v>
      </c>
      <c r="E114" s="178">
        <v>74207.2</v>
      </c>
      <c r="F114">
        <v>0</v>
      </c>
      <c r="G114" t="s">
        <v>497</v>
      </c>
    </row>
    <row r="115" spans="1:9">
      <c r="A115" s="178">
        <v>427</v>
      </c>
      <c r="B115" s="178" t="s">
        <v>636</v>
      </c>
      <c r="C115" s="178">
        <v>0</v>
      </c>
      <c r="D115" s="178">
        <v>0</v>
      </c>
      <c r="E115" s="178">
        <v>0</v>
      </c>
      <c r="F115">
        <v>0</v>
      </c>
      <c r="G115" t="s">
        <v>497</v>
      </c>
    </row>
    <row r="116" spans="1:9">
      <c r="A116" s="178">
        <v>430</v>
      </c>
      <c r="B116" s="178" t="s">
        <v>279</v>
      </c>
      <c r="C116" s="178">
        <v>0</v>
      </c>
      <c r="D116" s="178">
        <v>9433286.04</v>
      </c>
      <c r="E116" s="178">
        <v>9433286.04</v>
      </c>
      <c r="F116">
        <v>0</v>
      </c>
      <c r="G116" t="s">
        <v>497</v>
      </c>
    </row>
    <row r="117" spans="1:9">
      <c r="A117" s="178">
        <v>440</v>
      </c>
      <c r="B117" s="178" t="s">
        <v>280</v>
      </c>
      <c r="C117" s="178">
        <v>0</v>
      </c>
      <c r="D117" s="178">
        <v>5686555.14</v>
      </c>
      <c r="E117" s="178">
        <v>5686555.14</v>
      </c>
      <c r="F117">
        <v>0</v>
      </c>
      <c r="G117" t="s">
        <v>497</v>
      </c>
    </row>
    <row r="118" spans="1:9">
      <c r="A118" s="178">
        <v>450</v>
      </c>
      <c r="B118" s="178" t="s">
        <v>281</v>
      </c>
      <c r="C118" s="178">
        <v>0</v>
      </c>
      <c r="D118" s="178">
        <v>0</v>
      </c>
      <c r="E118" s="178">
        <v>0</v>
      </c>
      <c r="F118">
        <v>0</v>
      </c>
      <c r="G118" t="s">
        <v>497</v>
      </c>
    </row>
    <row r="119" spans="1:9">
      <c r="A119" s="178">
        <v>455</v>
      </c>
      <c r="B119" s="178" t="s">
        <v>282</v>
      </c>
      <c r="C119" s="178">
        <v>0</v>
      </c>
      <c r="D119" s="178">
        <v>0</v>
      </c>
      <c r="E119" s="178">
        <v>0</v>
      </c>
      <c r="F119">
        <v>0</v>
      </c>
      <c r="G119" t="s">
        <v>497</v>
      </c>
    </row>
    <row r="120" spans="1:9">
      <c r="A120" s="178">
        <v>456</v>
      </c>
      <c r="B120" s="178" t="s">
        <v>637</v>
      </c>
      <c r="C120" s="178">
        <v>0</v>
      </c>
      <c r="D120" s="178">
        <v>0</v>
      </c>
      <c r="E120" s="178">
        <v>0</v>
      </c>
      <c r="F120">
        <v>0</v>
      </c>
      <c r="G120" t="s">
        <v>497</v>
      </c>
    </row>
    <row r="121" spans="1:9">
      <c r="A121" s="178">
        <v>460</v>
      </c>
      <c r="B121" s="178" t="s">
        <v>283</v>
      </c>
      <c r="C121" s="178">
        <v>0</v>
      </c>
      <c r="D121" s="178">
        <v>0</v>
      </c>
      <c r="E121" s="178">
        <v>0</v>
      </c>
      <c r="F121">
        <v>0</v>
      </c>
      <c r="G121" t="s">
        <v>497</v>
      </c>
    </row>
    <row r="122" spans="1:9">
      <c r="A122" s="178">
        <v>470</v>
      </c>
      <c r="B122" s="178" t="s">
        <v>638</v>
      </c>
      <c r="C122" s="178">
        <v>0</v>
      </c>
      <c r="D122" s="178">
        <v>0</v>
      </c>
      <c r="E122" s="178">
        <v>0</v>
      </c>
      <c r="F122">
        <v>0</v>
      </c>
      <c r="G122" t="s">
        <v>497</v>
      </c>
    </row>
    <row r="123" spans="1:9">
      <c r="A123" s="178">
        <v>480</v>
      </c>
      <c r="B123" s="178" t="s">
        <v>284</v>
      </c>
      <c r="C123" s="178">
        <v>0</v>
      </c>
      <c r="D123" s="178">
        <v>0</v>
      </c>
      <c r="E123" s="178">
        <v>0</v>
      </c>
      <c r="F123">
        <v>0</v>
      </c>
      <c r="G123" t="s">
        <v>497</v>
      </c>
    </row>
    <row r="124" spans="1:9">
      <c r="A124" s="178">
        <v>490</v>
      </c>
      <c r="B124" s="178" t="s">
        <v>639</v>
      </c>
      <c r="C124" s="178">
        <v>0</v>
      </c>
      <c r="D124" s="178">
        <v>0</v>
      </c>
      <c r="E124" s="178">
        <v>0</v>
      </c>
      <c r="F124">
        <v>0</v>
      </c>
      <c r="G124" t="s">
        <v>497</v>
      </c>
    </row>
    <row r="125" spans="1:9">
      <c r="A125" s="178">
        <v>500</v>
      </c>
      <c r="B125" s="178" t="s">
        <v>285</v>
      </c>
      <c r="C125" s="178">
        <v>0</v>
      </c>
      <c r="D125" s="178">
        <v>0</v>
      </c>
      <c r="E125" s="178">
        <v>0</v>
      </c>
      <c r="F125">
        <v>0</v>
      </c>
      <c r="G125" t="s">
        <v>497</v>
      </c>
    </row>
    <row r="126" spans="1:9">
      <c r="A126" s="178">
        <v>510</v>
      </c>
      <c r="B126" s="178" t="s">
        <v>640</v>
      </c>
      <c r="C126" s="178">
        <v>0</v>
      </c>
      <c r="D126" s="178">
        <v>0</v>
      </c>
      <c r="E126" s="178">
        <v>0</v>
      </c>
      <c r="F126">
        <v>0</v>
      </c>
      <c r="G126" t="s">
        <v>497</v>
      </c>
    </row>
    <row r="127" spans="1:9">
      <c r="A127" s="178">
        <v>512</v>
      </c>
      <c r="B127" s="178" t="s">
        <v>286</v>
      </c>
      <c r="C127" s="178">
        <v>0</v>
      </c>
      <c r="D127" s="178">
        <v>-10822.51</v>
      </c>
      <c r="E127" s="178">
        <v>-10822.51</v>
      </c>
      <c r="F127">
        <v>0</v>
      </c>
      <c r="G127" t="s">
        <v>497</v>
      </c>
    </row>
    <row r="128" spans="1:9">
      <c r="A128" s="178">
        <v>514</v>
      </c>
      <c r="B128" s="178" t="s">
        <v>641</v>
      </c>
      <c r="C128" s="178">
        <v>0</v>
      </c>
      <c r="D128" s="178">
        <v>10822.51</v>
      </c>
      <c r="E128" s="178">
        <v>10822.51</v>
      </c>
      <c r="F128">
        <v>0</v>
      </c>
      <c r="G128" t="s">
        <v>497</v>
      </c>
    </row>
    <row r="129" spans="1:9">
      <c r="A129" s="178">
        <v>520</v>
      </c>
      <c r="B129" s="178" t="s">
        <v>642</v>
      </c>
      <c r="C129" s="178">
        <v>0</v>
      </c>
      <c r="D129" s="178">
        <v>0</v>
      </c>
      <c r="E129" s="178">
        <v>0</v>
      </c>
      <c r="F129">
        <v>0</v>
      </c>
      <c r="G129" t="s">
        <v>497</v>
      </c>
    </row>
    <row r="130" spans="1:9">
      <c r="A130" s="178">
        <v>530</v>
      </c>
      <c r="B130" s="178" t="s">
        <v>643</v>
      </c>
      <c r="C130" s="178">
        <v>0</v>
      </c>
      <c r="D130" s="178">
        <v>0</v>
      </c>
      <c r="E130" s="178">
        <v>0</v>
      </c>
      <c r="F130">
        <v>0</v>
      </c>
      <c r="G130" t="s">
        <v>497</v>
      </c>
    </row>
    <row r="131" spans="1:9">
      <c r="A131" s="178">
        <v>540</v>
      </c>
      <c r="B131" s="178" t="s">
        <v>644</v>
      </c>
      <c r="C131" s="178">
        <v>0</v>
      </c>
      <c r="D131" s="178">
        <v>-1390.38</v>
      </c>
      <c r="E131" s="178">
        <v>-1390.38</v>
      </c>
      <c r="F131">
        <v>0</v>
      </c>
      <c r="G131" t="s">
        <v>497</v>
      </c>
    </row>
    <row r="132" spans="1:9">
      <c r="A132" s="178">
        <v>550</v>
      </c>
      <c r="B132" s="178" t="s">
        <v>645</v>
      </c>
      <c r="C132" s="178">
        <v>0</v>
      </c>
      <c r="D132" s="178">
        <v>1390.38</v>
      </c>
      <c r="E132" s="178">
        <v>1390.38</v>
      </c>
      <c r="F132">
        <v>0</v>
      </c>
      <c r="G132" t="s">
        <v>497</v>
      </c>
    </row>
    <row r="133" spans="1:9">
      <c r="A133" s="178">
        <v>560</v>
      </c>
      <c r="B133" s="178" t="s">
        <v>646</v>
      </c>
      <c r="C133" s="178">
        <v>0</v>
      </c>
      <c r="D133" s="178">
        <v>-8519250.5</v>
      </c>
      <c r="E133" s="178">
        <v>-8519250.5</v>
      </c>
      <c r="F133">
        <v>0</v>
      </c>
      <c r="G133" t="s">
        <v>497</v>
      </c>
    </row>
    <row r="134" spans="1:9">
      <c r="A134" s="178">
        <v>570</v>
      </c>
      <c r="B134" s="178" t="s">
        <v>647</v>
      </c>
      <c r="C134" s="178">
        <v>0</v>
      </c>
      <c r="D134" s="178">
        <v>482296</v>
      </c>
      <c r="E134" s="178">
        <v>482296</v>
      </c>
      <c r="F134">
        <v>0</v>
      </c>
      <c r="G134" t="s">
        <v>497</v>
      </c>
    </row>
    <row r="135" spans="1:9">
      <c r="A135" s="178">
        <v>580</v>
      </c>
      <c r="B135" s="178" t="s">
        <v>290</v>
      </c>
      <c r="C135" s="178">
        <v>0</v>
      </c>
      <c r="D135" s="178">
        <v>0</v>
      </c>
      <c r="E135" s="178">
        <v>0</v>
      </c>
      <c r="F135">
        <v>0</v>
      </c>
      <c r="G135" t="s">
        <v>497</v>
      </c>
    </row>
    <row r="136" spans="1:9">
      <c r="A136" s="178">
        <v>590</v>
      </c>
      <c r="B136" s="178" t="s">
        <v>648</v>
      </c>
      <c r="C136" s="178">
        <v>0</v>
      </c>
      <c r="D136" s="178">
        <v>0</v>
      </c>
      <c r="E136" s="178">
        <v>0</v>
      </c>
      <c r="F136">
        <v>0</v>
      </c>
      <c r="G136" t="s">
        <v>497</v>
      </c>
    </row>
    <row r="137" spans="1:9">
      <c r="A137" s="178">
        <v>600</v>
      </c>
      <c r="B137" s="178" t="s">
        <v>291</v>
      </c>
      <c r="C137" s="178">
        <v>0</v>
      </c>
      <c r="D137" s="178">
        <v>0</v>
      </c>
      <c r="E137" s="178">
        <v>0</v>
      </c>
      <c r="F137">
        <v>0</v>
      </c>
      <c r="G137" t="s">
        <v>497</v>
      </c>
    </row>
    <row r="138" spans="1:9">
      <c r="A138" s="178">
        <v>610</v>
      </c>
      <c r="B138" s="178" t="s">
        <v>649</v>
      </c>
      <c r="C138" s="178">
        <v>0</v>
      </c>
      <c r="D138" s="178">
        <v>0</v>
      </c>
      <c r="E138" s="178">
        <v>0</v>
      </c>
      <c r="F138">
        <v>0</v>
      </c>
      <c r="G138" t="s">
        <v>497</v>
      </c>
    </row>
    <row r="139" spans="1:9">
      <c r="A139" s="178">
        <v>620</v>
      </c>
      <c r="B139" s="178" t="s">
        <v>292</v>
      </c>
      <c r="C139" s="178">
        <v>0</v>
      </c>
      <c r="D139" s="178">
        <v>0</v>
      </c>
      <c r="E139" s="178">
        <v>0</v>
      </c>
      <c r="F139">
        <v>0</v>
      </c>
      <c r="G139" t="s">
        <v>497</v>
      </c>
    </row>
    <row r="140" spans="1:9">
      <c r="A140" s="178">
        <v>630</v>
      </c>
      <c r="B140" s="178" t="s">
        <v>293</v>
      </c>
      <c r="C140" s="178">
        <v>0</v>
      </c>
      <c r="D140" s="178">
        <v>0</v>
      </c>
      <c r="E140" s="178">
        <v>0</v>
      </c>
      <c r="F140">
        <v>0</v>
      </c>
      <c r="G140" t="s">
        <v>497</v>
      </c>
    </row>
    <row r="141" spans="1:9">
      <c r="A141" s="178">
        <v>640</v>
      </c>
      <c r="B141" s="178" t="s">
        <v>294</v>
      </c>
      <c r="C141" s="178">
        <v>0</v>
      </c>
      <c r="D141" s="178">
        <v>-8036954.5</v>
      </c>
      <c r="E141" s="178">
        <v>-8036954.5</v>
      </c>
      <c r="F141">
        <v>0</v>
      </c>
      <c r="G141" t="s">
        <v>497</v>
      </c>
    </row>
    <row r="142" spans="1:9">
      <c r="A142" s="178">
        <v>650</v>
      </c>
      <c r="B142" s="178" t="s">
        <v>295</v>
      </c>
      <c r="C142" s="178">
        <v>1803741.65</v>
      </c>
      <c r="D142" s="178">
        <v>1130519.96</v>
      </c>
      <c r="E142" s="178">
        <v>2934261.61</v>
      </c>
      <c r="F142">
        <v>1803741.65</v>
      </c>
      <c r="G142" t="s">
        <v>497</v>
      </c>
    </row>
    <row r="143" spans="1:9">
      <c r="A143" s="178" t="s">
        <v>430</v>
      </c>
      <c r="B143" s="178" t="s">
        <v>402</v>
      </c>
      <c r="C143" s="178" t="s">
        <v>609</v>
      </c>
      <c r="D143" s="178" t="s">
        <v>610</v>
      </c>
      <c r="E143" s="178" t="s">
        <v>611</v>
      </c>
      <c r="F143" t="s">
        <v>612</v>
      </c>
      <c r="G143" t="s">
        <v>405</v>
      </c>
    </row>
    <row r="144" spans="1:9">
      <c r="A144" s="178">
        <v>10</v>
      </c>
      <c r="B144" s="178" t="s">
        <v>613</v>
      </c>
      <c r="C144" s="178">
        <v>0</v>
      </c>
      <c r="D144" s="178">
        <v>0</v>
      </c>
      <c r="E144" s="178">
        <v>0</v>
      </c>
      <c r="F144">
        <v>0</v>
      </c>
      <c r="G144" t="s">
        <v>497</v>
      </c>
    </row>
    <row r="145" spans="1:9">
      <c r="A145" s="178">
        <v>20</v>
      </c>
      <c r="B145" s="178" t="s">
        <v>406</v>
      </c>
      <c r="C145" s="178">
        <v>28088569.6</v>
      </c>
      <c r="D145" s="178">
        <v>0</v>
      </c>
      <c r="E145" s="178">
        <v>28088569.6</v>
      </c>
      <c r="F145">
        <v>28088569.6</v>
      </c>
      <c r="G145" t="s">
        <v>497</v>
      </c>
    </row>
    <row r="146" spans="1:9">
      <c r="A146" s="178">
        <v>30</v>
      </c>
      <c r="B146" s="178" t="s">
        <v>614</v>
      </c>
      <c r="C146" s="178">
        <v>218538.83</v>
      </c>
      <c r="D146" s="178">
        <v>0</v>
      </c>
      <c r="E146" s="178">
        <v>218538.83</v>
      </c>
      <c r="F146">
        <v>218538.83</v>
      </c>
      <c r="G146" t="s">
        <v>497</v>
      </c>
    </row>
    <row r="147" spans="1:9">
      <c r="A147" s="178">
        <v>35</v>
      </c>
      <c r="B147" s="178" t="s">
        <v>615</v>
      </c>
      <c r="C147" s="178">
        <v>27870030.77</v>
      </c>
      <c r="D147" s="178">
        <v>0</v>
      </c>
      <c r="E147" s="178">
        <v>27870030.77</v>
      </c>
      <c r="F147">
        <v>27870030.77</v>
      </c>
      <c r="G147" t="s">
        <v>497</v>
      </c>
    </row>
    <row r="148" spans="1:9">
      <c r="A148" s="178">
        <v>40</v>
      </c>
      <c r="B148" s="178" t="s">
        <v>616</v>
      </c>
      <c r="C148" s="178">
        <v>22942538.61</v>
      </c>
      <c r="D148" s="178">
        <v>0</v>
      </c>
      <c r="E148" s="178">
        <v>22942538.61</v>
      </c>
      <c r="F148">
        <v>22942538.61</v>
      </c>
      <c r="G148" t="s">
        <v>497</v>
      </c>
    </row>
    <row r="149" spans="1:9">
      <c r="A149" s="178">
        <v>50</v>
      </c>
      <c r="B149" s="178" t="s">
        <v>617</v>
      </c>
      <c r="C149" s="178">
        <v>0</v>
      </c>
      <c r="D149" s="178">
        <v>0</v>
      </c>
      <c r="E149" s="178">
        <v>0</v>
      </c>
      <c r="F149">
        <v>0</v>
      </c>
      <c r="G149" t="s">
        <v>497</v>
      </c>
    </row>
    <row r="150" spans="1:9">
      <c r="A150" s="178">
        <v>60</v>
      </c>
      <c r="B150" s="178" t="s">
        <v>618</v>
      </c>
      <c r="C150" s="178">
        <v>4927492.16</v>
      </c>
      <c r="D150" s="178">
        <v>0</v>
      </c>
      <c r="E150" s="178">
        <v>4927492.16</v>
      </c>
      <c r="F150">
        <v>4927492.16</v>
      </c>
      <c r="G150" t="s">
        <v>497</v>
      </c>
    </row>
    <row r="151" spans="1:9">
      <c r="A151" s="178">
        <v>70</v>
      </c>
      <c r="B151" s="178" t="s">
        <v>412</v>
      </c>
      <c r="C151" s="178">
        <v>2705382.64</v>
      </c>
      <c r="D151" s="178">
        <v>0</v>
      </c>
      <c r="E151" s="178">
        <v>2705382.64</v>
      </c>
      <c r="F151">
        <v>2705382.64</v>
      </c>
      <c r="G151" t="s">
        <v>497</v>
      </c>
    </row>
    <row r="152" spans="1:9">
      <c r="A152" s="178">
        <v>80</v>
      </c>
      <c r="B152" s="178" t="s">
        <v>413</v>
      </c>
      <c r="C152" s="178">
        <v>1099526.89</v>
      </c>
      <c r="D152" s="178">
        <v>0</v>
      </c>
      <c r="E152" s="178">
        <v>1099526.89</v>
      </c>
      <c r="F152">
        <v>1099526.89</v>
      </c>
      <c r="G152" t="s">
        <v>497</v>
      </c>
    </row>
    <row r="153" spans="1:9">
      <c r="A153" s="178">
        <v>90</v>
      </c>
      <c r="B153" s="178" t="s">
        <v>619</v>
      </c>
      <c r="C153" s="178">
        <v>110029.08</v>
      </c>
      <c r="D153" s="178">
        <v>0</v>
      </c>
      <c r="E153" s="178">
        <v>110029.08</v>
      </c>
      <c r="F153">
        <v>110029.08</v>
      </c>
      <c r="G153" t="s">
        <v>497</v>
      </c>
    </row>
    <row r="154" spans="1:9">
      <c r="A154" s="178">
        <v>100</v>
      </c>
      <c r="B154" s="178" t="s">
        <v>620</v>
      </c>
      <c r="C154" s="178">
        <v>1012553.55</v>
      </c>
      <c r="D154" s="178">
        <v>0</v>
      </c>
      <c r="E154" s="178">
        <v>1012553.55</v>
      </c>
      <c r="F154">
        <v>1012553.55</v>
      </c>
      <c r="G154" t="s">
        <v>497</v>
      </c>
    </row>
    <row r="155" spans="1:9">
      <c r="A155" s="178">
        <v>110</v>
      </c>
      <c r="B155" s="178" t="s">
        <v>621</v>
      </c>
      <c r="C155" s="178">
        <v>1519.42</v>
      </c>
      <c r="D155" s="178">
        <v>0</v>
      </c>
      <c r="E155" s="178">
        <v>1519.42</v>
      </c>
      <c r="F155">
        <v>1519.42</v>
      </c>
      <c r="G155" t="s">
        <v>497</v>
      </c>
    </row>
    <row r="156" spans="1:9">
      <c r="A156" s="178">
        <v>120</v>
      </c>
      <c r="B156" s="178" t="s">
        <v>622</v>
      </c>
      <c r="C156" s="178">
        <v>2000</v>
      </c>
      <c r="D156" s="178">
        <v>0</v>
      </c>
      <c r="E156" s="178">
        <v>2000</v>
      </c>
      <c r="F156">
        <v>2000</v>
      </c>
      <c r="G156" t="s">
        <v>497</v>
      </c>
    </row>
    <row r="157" spans="1:9">
      <c r="A157" s="178">
        <v>130</v>
      </c>
      <c r="B157" s="178" t="s">
        <v>623</v>
      </c>
      <c r="C157" s="178">
        <v>187720.45</v>
      </c>
      <c r="D157" s="178">
        <v>0</v>
      </c>
      <c r="E157" s="178">
        <v>187720.45</v>
      </c>
      <c r="F157">
        <v>187720.45</v>
      </c>
      <c r="G157" t="s">
        <v>497</v>
      </c>
    </row>
    <row r="158" spans="1:9">
      <c r="A158" s="178">
        <v>140</v>
      </c>
      <c r="B158" s="178" t="s">
        <v>624</v>
      </c>
      <c r="C158" s="178">
        <v>5332.4</v>
      </c>
      <c r="D158" s="178">
        <v>0</v>
      </c>
      <c r="E158" s="178">
        <v>5332.4</v>
      </c>
      <c r="F158">
        <v>5332.4</v>
      </c>
      <c r="G158" t="s">
        <v>497</v>
      </c>
    </row>
    <row r="159" spans="1:9">
      <c r="A159" s="178">
        <v>145</v>
      </c>
      <c r="B159" s="178" t="s">
        <v>422</v>
      </c>
      <c r="C159" s="178">
        <v>185907.47</v>
      </c>
      <c r="D159" s="178">
        <v>0</v>
      </c>
      <c r="E159" s="178">
        <v>185907.47</v>
      </c>
      <c r="F159">
        <v>185907.47</v>
      </c>
      <c r="G159" t="s">
        <v>497</v>
      </c>
    </row>
    <row r="160" spans="1:9">
      <c r="A160" s="178">
        <v>150</v>
      </c>
      <c r="B160" s="178" t="s">
        <v>625</v>
      </c>
      <c r="C160" s="178">
        <v>826646.08</v>
      </c>
      <c r="D160" s="178">
        <v>0</v>
      </c>
      <c r="E160" s="178">
        <v>826646.08</v>
      </c>
      <c r="F160">
        <v>826646.08</v>
      </c>
      <c r="G160" t="s">
        <v>497</v>
      </c>
    </row>
    <row r="161" spans="1:9">
      <c r="A161" s="178">
        <v>160</v>
      </c>
      <c r="B161" s="178" t="s">
        <v>626</v>
      </c>
      <c r="C161" s="178">
        <v>541000</v>
      </c>
      <c r="D161" s="178">
        <v>0</v>
      </c>
      <c r="E161" s="178">
        <v>541000</v>
      </c>
      <c r="F161">
        <v>541000</v>
      </c>
      <c r="G161" t="s">
        <v>497</v>
      </c>
    </row>
    <row r="162" spans="1:9">
      <c r="A162" s="178">
        <v>170</v>
      </c>
      <c r="B162" s="178" t="s">
        <v>426</v>
      </c>
      <c r="C162" s="178">
        <v>285646.08</v>
      </c>
      <c r="D162" s="178">
        <v>0</v>
      </c>
      <c r="E162" s="178">
        <v>285646.08</v>
      </c>
      <c r="F162">
        <v>285646.08</v>
      </c>
      <c r="G162" t="s">
        <v>497</v>
      </c>
    </row>
    <row r="163" spans="1:9">
      <c r="A163" s="178">
        <v>190</v>
      </c>
      <c r="B163" s="178" t="s">
        <v>627</v>
      </c>
      <c r="C163" s="178">
        <v>0</v>
      </c>
      <c r="D163" s="178">
        <v>0</v>
      </c>
      <c r="E163" s="178">
        <v>0</v>
      </c>
      <c r="F163">
        <v>0</v>
      </c>
      <c r="G163" t="s">
        <v>497</v>
      </c>
    </row>
    <row r="164" spans="1:9">
      <c r="A164" s="178">
        <v>200</v>
      </c>
      <c r="B164" s="178" t="s">
        <v>426</v>
      </c>
      <c r="C164" s="178">
        <v>285646.08</v>
      </c>
      <c r="D164" s="178">
        <v>0</v>
      </c>
      <c r="E164" s="178">
        <v>285646.08</v>
      </c>
      <c r="F164">
        <v>285646.08</v>
      </c>
      <c r="G164" t="s">
        <v>497</v>
      </c>
    </row>
    <row r="165" spans="1:9">
      <c r="A165" s="178">
        <v>210</v>
      </c>
      <c r="B165" s="178" t="s">
        <v>264</v>
      </c>
      <c r="C165" s="178">
        <v>285646.08</v>
      </c>
      <c r="D165" s="178">
        <v>0</v>
      </c>
      <c r="E165" s="178">
        <v>285646.08</v>
      </c>
      <c r="F165">
        <v>285646.08</v>
      </c>
      <c r="G165" t="s">
        <v>497</v>
      </c>
    </row>
    <row r="166" spans="1:9">
      <c r="A166" s="178">
        <v>220</v>
      </c>
      <c r="B166" s="178" t="s">
        <v>628</v>
      </c>
      <c r="C166" s="178">
        <v>0</v>
      </c>
      <c r="D166" s="178">
        <v>0</v>
      </c>
      <c r="E166" s="178">
        <v>0</v>
      </c>
      <c r="F166">
        <v>0</v>
      </c>
      <c r="G166" t="s">
        <v>497</v>
      </c>
    </row>
    <row r="167" spans="1:9">
      <c r="A167" s="178">
        <v>230</v>
      </c>
      <c r="B167" s="178" t="s">
        <v>266</v>
      </c>
      <c r="C167" s="178">
        <v>5765409.93</v>
      </c>
      <c r="D167" s="178">
        <v>-17542810.93</v>
      </c>
      <c r="E167" s="178">
        <v>-11777401</v>
      </c>
      <c r="F167">
        <v>5765409.93</v>
      </c>
      <c r="G167" t="s">
        <v>497</v>
      </c>
    </row>
    <row r="168" spans="1:9">
      <c r="A168" s="178">
        <v>235</v>
      </c>
      <c r="B168" s="178" t="s">
        <v>629</v>
      </c>
      <c r="C168" s="178">
        <v>8523.81</v>
      </c>
      <c r="D168" s="178">
        <v>-33481.24</v>
      </c>
      <c r="E168" s="178">
        <v>-24957.43</v>
      </c>
      <c r="F168">
        <v>8523.81</v>
      </c>
      <c r="G168" t="s">
        <v>497</v>
      </c>
    </row>
    <row r="169" spans="1:9">
      <c r="A169" s="178">
        <v>240</v>
      </c>
      <c r="B169" s="178" t="s">
        <v>267</v>
      </c>
      <c r="C169" s="178">
        <v>-507932.49</v>
      </c>
      <c r="D169" s="178">
        <v>-18407468.49</v>
      </c>
      <c r="E169" s="178">
        <v>-18915400.98</v>
      </c>
      <c r="F169">
        <v>-507932.49</v>
      </c>
      <c r="G169" t="s">
        <v>497</v>
      </c>
    </row>
    <row r="170" spans="1:9">
      <c r="A170" s="178">
        <v>250</v>
      </c>
      <c r="B170" s="178" t="s">
        <v>268</v>
      </c>
      <c r="C170" s="178">
        <v>1038806.73</v>
      </c>
      <c r="D170" s="178">
        <v>-12663395.59</v>
      </c>
      <c r="E170" s="178">
        <v>-11624588.86</v>
      </c>
      <c r="F170">
        <v>1038806.73</v>
      </c>
      <c r="G170" t="s">
        <v>497</v>
      </c>
    </row>
    <row r="171" spans="1:9">
      <c r="A171" s="178">
        <v>260</v>
      </c>
      <c r="B171" s="178" t="s">
        <v>630</v>
      </c>
      <c r="C171" s="178">
        <v>-387919.08</v>
      </c>
      <c r="D171" s="178">
        <v>-14889298.63</v>
      </c>
      <c r="E171" s="178">
        <v>-15277217.71</v>
      </c>
      <c r="F171">
        <v>-387919.08</v>
      </c>
      <c r="G171" t="s">
        <v>497</v>
      </c>
    </row>
    <row r="172" spans="1:9">
      <c r="A172" s="178">
        <v>270</v>
      </c>
      <c r="B172" s="178" t="s">
        <v>269</v>
      </c>
      <c r="C172" s="178">
        <v>-2894345.04</v>
      </c>
      <c r="D172" s="178">
        <v>-29307656.41</v>
      </c>
      <c r="E172" s="178">
        <v>-32202001.45</v>
      </c>
      <c r="F172">
        <v>-2894345.04</v>
      </c>
      <c r="G172" t="s">
        <v>497</v>
      </c>
    </row>
    <row r="173" spans="1:9">
      <c r="A173" s="178">
        <v>300</v>
      </c>
      <c r="B173" s="178" t="s">
        <v>270</v>
      </c>
      <c r="C173" s="178">
        <v>-3857805.34</v>
      </c>
      <c r="D173" s="178">
        <v>3373918.13</v>
      </c>
      <c r="E173" s="178">
        <v>-483887.21</v>
      </c>
      <c r="F173">
        <v>-3857805.34</v>
      </c>
      <c r="G173" t="s">
        <v>497</v>
      </c>
    </row>
    <row r="174" spans="1:9">
      <c r="A174" s="178">
        <v>310</v>
      </c>
      <c r="B174" s="178" t="s">
        <v>631</v>
      </c>
      <c r="C174" s="178">
        <v>-269820.07</v>
      </c>
      <c r="D174" s="178">
        <v>-146950.17</v>
      </c>
      <c r="E174" s="178">
        <v>-416770.24</v>
      </c>
      <c r="F174">
        <v>-269820.07</v>
      </c>
      <c r="G174" t="s">
        <v>497</v>
      </c>
    </row>
    <row r="175" spans="1:9">
      <c r="A175" s="178">
        <v>320</v>
      </c>
      <c r="B175" s="178" t="s">
        <v>271</v>
      </c>
      <c r="C175" s="178">
        <v>5286268.28</v>
      </c>
      <c r="D175" s="178">
        <v>36862059.08</v>
      </c>
      <c r="E175" s="178">
        <v>42148327.36</v>
      </c>
      <c r="F175">
        <v>5286268.28</v>
      </c>
      <c r="G175" t="s">
        <v>497</v>
      </c>
    </row>
    <row r="176" spans="1:9">
      <c r="A176" s="178">
        <v>325</v>
      </c>
      <c r="B176" s="178" t="s">
        <v>272</v>
      </c>
      <c r="C176" s="178">
        <v>-564697.89</v>
      </c>
      <c r="D176" s="178">
        <v>34970.92</v>
      </c>
      <c r="E176" s="178">
        <v>-529726.97</v>
      </c>
      <c r="F176">
        <v>-564697.89</v>
      </c>
      <c r="G176" t="s">
        <v>497</v>
      </c>
    </row>
    <row r="177" spans="1:9">
      <c r="A177" s="178">
        <v>330</v>
      </c>
      <c r="B177" s="178" t="s">
        <v>632</v>
      </c>
      <c r="C177" s="178">
        <v>-1217100.08</v>
      </c>
      <c r="D177" s="178">
        <v>22322231.96</v>
      </c>
      <c r="E177" s="178">
        <v>21105131.88</v>
      </c>
      <c r="F177">
        <v>-1217100.08</v>
      </c>
      <c r="G177" t="s">
        <v>497</v>
      </c>
    </row>
    <row r="178" spans="1:9">
      <c r="A178" s="178">
        <v>340</v>
      </c>
      <c r="B178" s="178" t="s">
        <v>633</v>
      </c>
      <c r="C178" s="178">
        <v>-127703.18</v>
      </c>
      <c r="D178" s="178">
        <v>183326.92</v>
      </c>
      <c r="E178" s="178">
        <v>55623.74</v>
      </c>
      <c r="F178">
        <v>-127703.18</v>
      </c>
      <c r="G178" t="s">
        <v>497</v>
      </c>
    </row>
    <row r="179" spans="1:9">
      <c r="A179" s="178">
        <v>380</v>
      </c>
      <c r="B179" s="178" t="s">
        <v>634</v>
      </c>
      <c r="C179" s="178">
        <v>2271685.58</v>
      </c>
      <c r="D179" s="178">
        <v>-30214554.45</v>
      </c>
      <c r="E179" s="178">
        <v>-27942868.87</v>
      </c>
      <c r="F179">
        <v>2271685.58</v>
      </c>
      <c r="G179" t="s">
        <v>497</v>
      </c>
    </row>
    <row r="180" spans="1:9">
      <c r="A180" s="178">
        <v>390</v>
      </c>
      <c r="B180" s="178" t="s">
        <v>273</v>
      </c>
      <c r="C180" s="178">
        <v>0</v>
      </c>
      <c r="D180" s="178">
        <v>0</v>
      </c>
      <c r="E180" s="178">
        <v>0</v>
      </c>
      <c r="F180">
        <v>0</v>
      </c>
      <c r="G180" t="s">
        <v>497</v>
      </c>
    </row>
    <row r="181" spans="1:9">
      <c r="A181" s="178">
        <v>400</v>
      </c>
      <c r="B181" s="178" t="s">
        <v>650</v>
      </c>
      <c r="C181" s="178">
        <v>-107661.46</v>
      </c>
      <c r="D181" s="178">
        <v>12838765.42</v>
      </c>
      <c r="E181" s="178">
        <v>12731103.96</v>
      </c>
      <c r="F181">
        <v>-107661.46</v>
      </c>
      <c r="G181" t="s">
        <v>497</v>
      </c>
    </row>
    <row r="182" spans="1:9">
      <c r="A182" s="178">
        <v>405</v>
      </c>
      <c r="B182" s="178" t="s">
        <v>275</v>
      </c>
      <c r="C182" s="178">
        <v>0</v>
      </c>
      <c r="D182" s="178">
        <v>20956.3</v>
      </c>
      <c r="E182" s="178">
        <v>20956.3</v>
      </c>
      <c r="F182">
        <v>0</v>
      </c>
      <c r="G182" t="s">
        <v>497</v>
      </c>
    </row>
    <row r="183" spans="1:9">
      <c r="A183" s="178">
        <v>410</v>
      </c>
      <c r="B183" s="178" t="s">
        <v>276</v>
      </c>
      <c r="C183" s="178">
        <v>0</v>
      </c>
      <c r="D183" s="178">
        <v>22536000</v>
      </c>
      <c r="E183" s="178">
        <v>22536000</v>
      </c>
      <c r="F183">
        <v>0</v>
      </c>
      <c r="G183" t="s">
        <v>497</v>
      </c>
    </row>
    <row r="184" spans="1:9">
      <c r="A184" s="178">
        <v>420</v>
      </c>
      <c r="B184" s="178" t="s">
        <v>277</v>
      </c>
      <c r="C184" s="178">
        <v>0</v>
      </c>
      <c r="D184" s="178">
        <v>-8796584.52</v>
      </c>
      <c r="E184" s="178">
        <v>-8796584.52</v>
      </c>
      <c r="F184">
        <v>0</v>
      </c>
      <c r="G184" t="s">
        <v>497</v>
      </c>
    </row>
    <row r="185" spans="1:9">
      <c r="A185" s="178">
        <v>425</v>
      </c>
      <c r="B185" s="178" t="s">
        <v>635</v>
      </c>
      <c r="C185" s="178">
        <v>0</v>
      </c>
      <c r="D185" s="178">
        <v>99793</v>
      </c>
      <c r="E185" s="178">
        <v>99793</v>
      </c>
      <c r="F185">
        <v>0</v>
      </c>
      <c r="G185" t="s">
        <v>497</v>
      </c>
    </row>
    <row r="186" spans="1:9">
      <c r="A186" s="178">
        <v>427</v>
      </c>
      <c r="B186" s="178" t="s">
        <v>636</v>
      </c>
      <c r="C186" s="178">
        <v>0</v>
      </c>
      <c r="D186" s="178">
        <v>0</v>
      </c>
      <c r="E186" s="178">
        <v>0</v>
      </c>
      <c r="F186">
        <v>0</v>
      </c>
      <c r="G186" t="s">
        <v>497</v>
      </c>
    </row>
    <row r="187" spans="1:9">
      <c r="A187" s="178">
        <v>430</v>
      </c>
      <c r="B187" s="178" t="s">
        <v>279</v>
      </c>
      <c r="C187" s="178">
        <v>0</v>
      </c>
      <c r="D187" s="178">
        <v>35136839.73</v>
      </c>
      <c r="E187" s="178">
        <v>35136839.73</v>
      </c>
      <c r="F187">
        <v>0</v>
      </c>
      <c r="G187" t="s">
        <v>497</v>
      </c>
    </row>
    <row r="188" spans="1:9">
      <c r="A188" s="178">
        <v>440</v>
      </c>
      <c r="B188" s="178" t="s">
        <v>280</v>
      </c>
      <c r="C188" s="178">
        <v>-107661.46</v>
      </c>
      <c r="D188" s="178">
        <v>61835769.93</v>
      </c>
      <c r="E188" s="178">
        <v>61728108.47</v>
      </c>
      <c r="F188">
        <v>-107661.46</v>
      </c>
      <c r="G188" t="s">
        <v>497</v>
      </c>
    </row>
    <row r="189" spans="1:9">
      <c r="A189" s="178">
        <v>450</v>
      </c>
      <c r="B189" s="178" t="s">
        <v>281</v>
      </c>
      <c r="C189" s="178">
        <v>0</v>
      </c>
      <c r="D189" s="178">
        <v>0</v>
      </c>
      <c r="E189" s="178">
        <v>0</v>
      </c>
      <c r="F189">
        <v>0</v>
      </c>
      <c r="G189" t="s">
        <v>497</v>
      </c>
    </row>
    <row r="190" spans="1:9">
      <c r="A190" s="178">
        <v>455</v>
      </c>
      <c r="B190" s="178" t="s">
        <v>282</v>
      </c>
      <c r="C190" s="178">
        <v>0</v>
      </c>
      <c r="D190" s="178">
        <v>-1700068.36</v>
      </c>
      <c r="E190" s="178">
        <v>-1700068.36</v>
      </c>
      <c r="F190">
        <v>0</v>
      </c>
      <c r="G190" t="s">
        <v>497</v>
      </c>
    </row>
    <row r="191" spans="1:9">
      <c r="A191" s="178">
        <v>456</v>
      </c>
      <c r="B191" s="178" t="s">
        <v>637</v>
      </c>
      <c r="C191" s="178">
        <v>3057.82</v>
      </c>
      <c r="D191" s="178">
        <v>2935468.57</v>
      </c>
      <c r="E191" s="178">
        <v>2938526.39</v>
      </c>
      <c r="F191">
        <v>3057.82</v>
      </c>
      <c r="G191" t="s">
        <v>497</v>
      </c>
    </row>
    <row r="192" spans="1:9">
      <c r="A192" s="178">
        <v>460</v>
      </c>
      <c r="B192" s="178" t="s">
        <v>283</v>
      </c>
      <c r="C192" s="178">
        <v>0</v>
      </c>
      <c r="D192" s="178">
        <v>-15742713.87</v>
      </c>
      <c r="E192" s="178">
        <v>-15742713.87</v>
      </c>
      <c r="F192">
        <v>0</v>
      </c>
      <c r="G192" t="s">
        <v>497</v>
      </c>
    </row>
    <row r="193" spans="1:9">
      <c r="A193" s="178">
        <v>470</v>
      </c>
      <c r="B193" s="178" t="s">
        <v>638</v>
      </c>
      <c r="C193" s="178">
        <v>8144.5</v>
      </c>
      <c r="D193" s="178">
        <v>2968185.76</v>
      </c>
      <c r="E193" s="178">
        <v>2976330.26</v>
      </c>
      <c r="F193">
        <v>8144.5</v>
      </c>
      <c r="G193" t="s">
        <v>497</v>
      </c>
    </row>
    <row r="194" spans="1:9">
      <c r="A194" s="178">
        <v>480</v>
      </c>
      <c r="B194" s="178" t="s">
        <v>284</v>
      </c>
      <c r="C194" s="178">
        <v>0</v>
      </c>
      <c r="D194" s="178">
        <v>-18678105.41</v>
      </c>
      <c r="E194" s="178">
        <v>-18678105.41</v>
      </c>
      <c r="F194">
        <v>0</v>
      </c>
      <c r="G194" t="s">
        <v>497</v>
      </c>
    </row>
    <row r="195" spans="1:9">
      <c r="A195" s="178">
        <v>490</v>
      </c>
      <c r="B195" s="178" t="s">
        <v>639</v>
      </c>
      <c r="C195" s="178">
        <v>55041.4</v>
      </c>
      <c r="D195" s="178">
        <v>9738388.5</v>
      </c>
      <c r="E195" s="178">
        <v>9793429.9</v>
      </c>
      <c r="F195">
        <v>55041.4</v>
      </c>
      <c r="G195" t="s">
        <v>497</v>
      </c>
    </row>
    <row r="196" spans="1:9">
      <c r="A196" s="178">
        <v>500</v>
      </c>
      <c r="B196" s="178" t="s">
        <v>285</v>
      </c>
      <c r="C196" s="178">
        <v>0</v>
      </c>
      <c r="D196" s="178">
        <v>-1018435.99</v>
      </c>
      <c r="E196" s="178">
        <v>-1018435.99</v>
      </c>
      <c r="F196">
        <v>0</v>
      </c>
      <c r="G196" t="s">
        <v>497</v>
      </c>
    </row>
    <row r="197" spans="1:9">
      <c r="A197" s="178">
        <v>510</v>
      </c>
      <c r="B197" s="178" t="s">
        <v>640</v>
      </c>
      <c r="C197" s="178">
        <v>5780.3</v>
      </c>
      <c r="D197" s="178">
        <v>724256.94</v>
      </c>
      <c r="E197" s="178">
        <v>730037.24</v>
      </c>
      <c r="F197">
        <v>5780.3</v>
      </c>
      <c r="G197" t="s">
        <v>497</v>
      </c>
    </row>
    <row r="198" spans="1:9">
      <c r="A198" s="178">
        <v>512</v>
      </c>
      <c r="B198" s="178" t="s">
        <v>286</v>
      </c>
      <c r="C198" s="178">
        <v>0</v>
      </c>
      <c r="D198" s="178">
        <v>-818596.08</v>
      </c>
      <c r="E198" s="178">
        <v>-818596.08</v>
      </c>
      <c r="F198">
        <v>0</v>
      </c>
      <c r="G198" t="s">
        <v>497</v>
      </c>
    </row>
    <row r="199" spans="1:9">
      <c r="A199" s="178">
        <v>514</v>
      </c>
      <c r="B199" s="178" t="s">
        <v>641</v>
      </c>
      <c r="C199" s="178">
        <v>4880.39</v>
      </c>
      <c r="D199" s="178">
        <v>1120622.95</v>
      </c>
      <c r="E199" s="178">
        <v>1125503.34</v>
      </c>
      <c r="F199">
        <v>4880.39</v>
      </c>
      <c r="G199" t="s">
        <v>497</v>
      </c>
    </row>
    <row r="200" spans="1:9">
      <c r="A200" s="178">
        <v>520</v>
      </c>
      <c r="B200" s="178" t="s">
        <v>642</v>
      </c>
      <c r="C200" s="178">
        <v>0</v>
      </c>
      <c r="D200" s="178">
        <v>-151045.8</v>
      </c>
      <c r="E200" s="178">
        <v>-151045.8</v>
      </c>
      <c r="F200">
        <v>0</v>
      </c>
      <c r="G200" t="s">
        <v>497</v>
      </c>
    </row>
    <row r="201" spans="1:9">
      <c r="A201" s="178">
        <v>530</v>
      </c>
      <c r="B201" s="178" t="s">
        <v>643</v>
      </c>
      <c r="C201" s="178">
        <v>0</v>
      </c>
      <c r="D201" s="178">
        <v>0</v>
      </c>
      <c r="E201" s="178">
        <v>0</v>
      </c>
      <c r="F201">
        <v>0</v>
      </c>
      <c r="G201" t="s">
        <v>497</v>
      </c>
    </row>
    <row r="202" spans="1:9">
      <c r="A202" s="178">
        <v>540</v>
      </c>
      <c r="B202" s="178" t="s">
        <v>644</v>
      </c>
      <c r="C202" s="178">
        <v>0</v>
      </c>
      <c r="D202" s="178">
        <v>-9013.79</v>
      </c>
      <c r="E202" s="178">
        <v>-9013.79</v>
      </c>
      <c r="F202">
        <v>0</v>
      </c>
      <c r="G202" t="s">
        <v>497</v>
      </c>
    </row>
    <row r="203" spans="1:9">
      <c r="A203" s="178">
        <v>550</v>
      </c>
      <c r="B203" s="178" t="s">
        <v>645</v>
      </c>
      <c r="C203" s="178">
        <v>21.9</v>
      </c>
      <c r="D203" s="178">
        <v>47432.31</v>
      </c>
      <c r="E203" s="178">
        <v>47454.21</v>
      </c>
      <c r="F203">
        <v>21.9</v>
      </c>
      <c r="G203" t="s">
        <v>497</v>
      </c>
    </row>
    <row r="204" spans="1:9">
      <c r="A204" s="178">
        <v>560</v>
      </c>
      <c r="B204" s="178" t="s">
        <v>646</v>
      </c>
      <c r="C204" s="178">
        <v>5313.49</v>
      </c>
      <c r="D204" s="178">
        <v>-293593.99</v>
      </c>
      <c r="E204" s="178">
        <v>-288280.5</v>
      </c>
      <c r="F204">
        <v>5313.49</v>
      </c>
      <c r="G204" t="s">
        <v>497</v>
      </c>
    </row>
    <row r="205" spans="1:9">
      <c r="A205" s="178">
        <v>570</v>
      </c>
      <c r="B205" s="178" t="s">
        <v>647</v>
      </c>
      <c r="C205" s="178">
        <v>1434.55</v>
      </c>
      <c r="D205" s="178">
        <v>336387.07</v>
      </c>
      <c r="E205" s="178">
        <v>337821.62</v>
      </c>
      <c r="F205">
        <v>1434.55</v>
      </c>
      <c r="G205" t="s">
        <v>497</v>
      </c>
    </row>
    <row r="206" spans="1:9">
      <c r="A206" s="178">
        <v>580</v>
      </c>
      <c r="B206" s="178" t="s">
        <v>290</v>
      </c>
      <c r="C206" s="178">
        <v>0</v>
      </c>
      <c r="D206" s="178">
        <v>-13991196.58</v>
      </c>
      <c r="E206" s="178">
        <v>-13991196.58</v>
      </c>
      <c r="F206">
        <v>0</v>
      </c>
      <c r="G206" t="s">
        <v>497</v>
      </c>
    </row>
    <row r="207" spans="1:9">
      <c r="A207" s="178">
        <v>590</v>
      </c>
      <c r="B207" s="178" t="s">
        <v>648</v>
      </c>
      <c r="C207" s="178">
        <v>28270.11</v>
      </c>
      <c r="D207" s="178">
        <v>4748753.37</v>
      </c>
      <c r="E207" s="178">
        <v>4777023.48</v>
      </c>
      <c r="F207">
        <v>28270.11</v>
      </c>
      <c r="G207" t="s">
        <v>497</v>
      </c>
    </row>
    <row r="208" spans="1:9">
      <c r="A208" s="178">
        <v>600</v>
      </c>
      <c r="B208" s="178" t="s">
        <v>291</v>
      </c>
      <c r="C208" s="178">
        <v>-570536.12</v>
      </c>
      <c r="D208" s="178">
        <v>-3416607.97</v>
      </c>
      <c r="E208" s="178">
        <v>-3987144.09</v>
      </c>
      <c r="F208">
        <v>-570536.12</v>
      </c>
      <c r="G208" t="s">
        <v>497</v>
      </c>
    </row>
    <row r="209" spans="1:9">
      <c r="A209" s="178">
        <v>610</v>
      </c>
      <c r="B209" s="178" t="s">
        <v>649</v>
      </c>
      <c r="C209" s="178">
        <v>3398.11</v>
      </c>
      <c r="D209" s="178">
        <v>1592197.38</v>
      </c>
      <c r="E209" s="178">
        <v>1595595.49</v>
      </c>
      <c r="F209">
        <v>3398.11</v>
      </c>
      <c r="G209" t="s">
        <v>497</v>
      </c>
    </row>
    <row r="210" spans="1:9">
      <c r="A210" s="178">
        <v>620</v>
      </c>
      <c r="B210" s="178" t="s">
        <v>292</v>
      </c>
      <c r="C210" s="178">
        <v>0</v>
      </c>
      <c r="D210" s="178">
        <v>0</v>
      </c>
      <c r="E210" s="178">
        <v>0</v>
      </c>
      <c r="F210">
        <v>0</v>
      </c>
      <c r="G210" t="s">
        <v>497</v>
      </c>
    </row>
    <row r="211" spans="1:9">
      <c r="A211" s="178">
        <v>630</v>
      </c>
      <c r="B211" s="178" t="s">
        <v>293</v>
      </c>
      <c r="C211" s="178">
        <v>0</v>
      </c>
      <c r="D211" s="178">
        <v>0</v>
      </c>
      <c r="E211" s="178">
        <v>0</v>
      </c>
      <c r="F211">
        <v>0</v>
      </c>
      <c r="G211" t="s">
        <v>497</v>
      </c>
    </row>
    <row r="212" spans="1:9">
      <c r="A212" s="178">
        <v>640</v>
      </c>
      <c r="B212" s="178" t="s">
        <v>294</v>
      </c>
      <c r="C212" s="178">
        <v>-455193.55</v>
      </c>
      <c r="D212" s="178">
        <v>-31607684.99</v>
      </c>
      <c r="E212" s="178">
        <v>-32062878.54</v>
      </c>
      <c r="F212">
        <v>-455193.55</v>
      </c>
      <c r="G212" t="s">
        <v>497</v>
      </c>
    </row>
    <row r="213" spans="1:9">
      <c r="A213" s="178">
        <v>650</v>
      </c>
      <c r="B213" s="178" t="s">
        <v>295</v>
      </c>
      <c r="C213" s="178">
        <v>1994476.65</v>
      </c>
      <c r="D213" s="178">
        <v>13530.49</v>
      </c>
      <c r="E213" s="178">
        <v>2008007.14</v>
      </c>
      <c r="F213">
        <v>1994476.65</v>
      </c>
      <c r="G213" t="s">
        <v>497</v>
      </c>
    </row>
    <row r="214" spans="1:9">
      <c r="A214" s="178" t="s">
        <v>432</v>
      </c>
      <c r="B214" s="178" t="s">
        <v>402</v>
      </c>
      <c r="C214" s="178" t="s">
        <v>609</v>
      </c>
      <c r="D214" s="178" t="s">
        <v>610</v>
      </c>
      <c r="E214" s="178" t="s">
        <v>611</v>
      </c>
      <c r="F214" t="s">
        <v>612</v>
      </c>
      <c r="G214" t="s">
        <v>405</v>
      </c>
    </row>
    <row r="215" spans="1:9">
      <c r="A215" s="178">
        <v>10</v>
      </c>
      <c r="B215" s="178" t="s">
        <v>613</v>
      </c>
      <c r="C215" s="178">
        <v>0</v>
      </c>
      <c r="D215" s="178">
        <v>0</v>
      </c>
      <c r="E215" s="178">
        <v>0</v>
      </c>
      <c r="F215">
        <v>0</v>
      </c>
      <c r="G215" t="s">
        <v>497</v>
      </c>
    </row>
    <row r="216" spans="1:9">
      <c r="A216" s="178">
        <v>20</v>
      </c>
      <c r="B216" s="178" t="s">
        <v>406</v>
      </c>
      <c r="C216" s="178">
        <v>3454255.34</v>
      </c>
      <c r="D216" s="178">
        <v>0</v>
      </c>
      <c r="E216" s="178">
        <v>3454255.34</v>
      </c>
      <c r="F216">
        <v>3454255.34</v>
      </c>
      <c r="G216" t="s">
        <v>497</v>
      </c>
    </row>
    <row r="217" spans="1:9">
      <c r="A217" s="178">
        <v>30</v>
      </c>
      <c r="B217" s="178" t="s">
        <v>614</v>
      </c>
      <c r="C217" s="178">
        <v>0</v>
      </c>
      <c r="D217" s="178">
        <v>0</v>
      </c>
      <c r="E217" s="178">
        <v>0</v>
      </c>
      <c r="F217">
        <v>0</v>
      </c>
      <c r="G217" t="s">
        <v>497</v>
      </c>
    </row>
    <row r="218" spans="1:9">
      <c r="A218" s="178">
        <v>35</v>
      </c>
      <c r="B218" s="178" t="s">
        <v>615</v>
      </c>
      <c r="C218" s="178">
        <v>3454255.34</v>
      </c>
      <c r="D218" s="178">
        <v>0</v>
      </c>
      <c r="E218" s="178">
        <v>3454255.34</v>
      </c>
      <c r="F218">
        <v>3454255.34</v>
      </c>
      <c r="G218" t="s">
        <v>497</v>
      </c>
    </row>
    <row r="219" spans="1:9">
      <c r="A219" s="178">
        <v>40</v>
      </c>
      <c r="B219" s="178" t="s">
        <v>616</v>
      </c>
      <c r="C219" s="178">
        <v>0</v>
      </c>
      <c r="D219" s="178">
        <v>0</v>
      </c>
      <c r="E219" s="178">
        <v>0</v>
      </c>
      <c r="F219">
        <v>0</v>
      </c>
      <c r="G219" t="s">
        <v>497</v>
      </c>
    </row>
    <row r="220" spans="1:9">
      <c r="A220" s="178">
        <v>50</v>
      </c>
      <c r="B220" s="178" t="s">
        <v>617</v>
      </c>
      <c r="C220" s="178">
        <v>0</v>
      </c>
      <c r="D220" s="178">
        <v>0</v>
      </c>
      <c r="E220" s="178">
        <v>0</v>
      </c>
      <c r="F220">
        <v>0</v>
      </c>
      <c r="G220" t="s">
        <v>497</v>
      </c>
    </row>
    <row r="221" spans="1:9">
      <c r="A221" s="178">
        <v>60</v>
      </c>
      <c r="B221" s="178" t="s">
        <v>618</v>
      </c>
      <c r="C221" s="178">
        <v>3454255.34</v>
      </c>
      <c r="D221" s="178">
        <v>0</v>
      </c>
      <c r="E221" s="178">
        <v>3454255.34</v>
      </c>
      <c r="F221">
        <v>3454255.34</v>
      </c>
      <c r="G221" t="s">
        <v>497</v>
      </c>
    </row>
    <row r="222" spans="1:9">
      <c r="A222" s="178">
        <v>70</v>
      </c>
      <c r="B222" s="178" t="s">
        <v>412</v>
      </c>
      <c r="C222" s="178">
        <v>0</v>
      </c>
      <c r="D222" s="178">
        <v>0</v>
      </c>
      <c r="E222" s="178">
        <v>0</v>
      </c>
      <c r="F222">
        <v>0</v>
      </c>
      <c r="G222" t="s">
        <v>497</v>
      </c>
    </row>
    <row r="223" spans="1:9">
      <c r="A223" s="178">
        <v>80</v>
      </c>
      <c r="B223" s="178" t="s">
        <v>413</v>
      </c>
      <c r="C223" s="178">
        <v>3161437.66</v>
      </c>
      <c r="D223" s="178">
        <v>0</v>
      </c>
      <c r="E223" s="178">
        <v>3161437.66</v>
      </c>
      <c r="F223">
        <v>3161437.66</v>
      </c>
      <c r="G223" t="s">
        <v>497</v>
      </c>
    </row>
    <row r="224" spans="1:9">
      <c r="A224" s="178">
        <v>90</v>
      </c>
      <c r="B224" s="178" t="s">
        <v>619</v>
      </c>
      <c r="C224" s="178">
        <v>45176.32</v>
      </c>
      <c r="D224" s="178">
        <v>0</v>
      </c>
      <c r="E224" s="178">
        <v>45176.32</v>
      </c>
      <c r="F224">
        <v>45176.32</v>
      </c>
      <c r="G224" t="s">
        <v>497</v>
      </c>
    </row>
    <row r="225" spans="1:9">
      <c r="A225" s="178">
        <v>100</v>
      </c>
      <c r="B225" s="178" t="s">
        <v>620</v>
      </c>
      <c r="C225" s="178">
        <v>247641.36</v>
      </c>
      <c r="D225" s="178">
        <v>0</v>
      </c>
      <c r="E225" s="178">
        <v>247641.36</v>
      </c>
      <c r="F225">
        <v>247641.36</v>
      </c>
      <c r="G225" t="s">
        <v>497</v>
      </c>
    </row>
    <row r="226" spans="1:9">
      <c r="A226" s="178">
        <v>110</v>
      </c>
      <c r="B226" s="178" t="s">
        <v>621</v>
      </c>
      <c r="C226" s="178">
        <v>-2191.96</v>
      </c>
      <c r="D226" s="178">
        <v>0</v>
      </c>
      <c r="E226" s="178">
        <v>-2191.96</v>
      </c>
      <c r="F226">
        <v>-2191.96</v>
      </c>
      <c r="G226" t="s">
        <v>497</v>
      </c>
    </row>
    <row r="227" spans="1:9">
      <c r="A227" s="178">
        <v>120</v>
      </c>
      <c r="B227" s="178" t="s">
        <v>622</v>
      </c>
      <c r="C227" s="178">
        <v>0</v>
      </c>
      <c r="D227" s="178">
        <v>0</v>
      </c>
      <c r="E227" s="178">
        <v>0</v>
      </c>
      <c r="F227">
        <v>0</v>
      </c>
      <c r="G227" t="s">
        <v>497</v>
      </c>
    </row>
    <row r="228" spans="1:9">
      <c r="A228" s="178">
        <v>130</v>
      </c>
      <c r="B228" s="178" t="s">
        <v>623</v>
      </c>
      <c r="C228" s="178">
        <v>4559.41</v>
      </c>
      <c r="D228" s="178">
        <v>0</v>
      </c>
      <c r="E228" s="178">
        <v>4559.41</v>
      </c>
      <c r="F228">
        <v>4559.41</v>
      </c>
      <c r="G228" t="s">
        <v>497</v>
      </c>
    </row>
    <row r="229" spans="1:9">
      <c r="A229" s="178">
        <v>140</v>
      </c>
      <c r="B229" s="178" t="s">
        <v>624</v>
      </c>
      <c r="C229" s="178">
        <v>0</v>
      </c>
      <c r="D229" s="178">
        <v>0</v>
      </c>
      <c r="E229" s="178">
        <v>0</v>
      </c>
      <c r="F229">
        <v>0</v>
      </c>
      <c r="G229" t="s">
        <v>497</v>
      </c>
    </row>
    <row r="230" spans="1:9">
      <c r="A230" s="178">
        <v>145</v>
      </c>
      <c r="B230" s="178" t="s">
        <v>422</v>
      </c>
      <c r="C230" s="178">
        <v>2367.45</v>
      </c>
      <c r="D230" s="178">
        <v>0</v>
      </c>
      <c r="E230" s="178">
        <v>2367.45</v>
      </c>
      <c r="F230">
        <v>2367.45</v>
      </c>
      <c r="G230" t="s">
        <v>497</v>
      </c>
    </row>
    <row r="231" spans="1:9">
      <c r="A231" s="178">
        <v>150</v>
      </c>
      <c r="B231" s="178" t="s">
        <v>625</v>
      </c>
      <c r="C231" s="178">
        <v>245273.91</v>
      </c>
      <c r="D231" s="178">
        <v>0</v>
      </c>
      <c r="E231" s="178">
        <v>245273.91</v>
      </c>
      <c r="F231">
        <v>245273.91</v>
      </c>
      <c r="G231" t="s">
        <v>497</v>
      </c>
    </row>
    <row r="232" spans="1:9">
      <c r="A232" s="178">
        <v>160</v>
      </c>
      <c r="B232" s="178" t="s">
        <v>626</v>
      </c>
      <c r="C232" s="178">
        <v>74197.4</v>
      </c>
      <c r="D232" s="178">
        <v>0</v>
      </c>
      <c r="E232" s="178">
        <v>74197.4</v>
      </c>
      <c r="F232">
        <v>74197.4</v>
      </c>
      <c r="G232" t="s">
        <v>497</v>
      </c>
    </row>
    <row r="233" spans="1:9">
      <c r="A233" s="178">
        <v>170</v>
      </c>
      <c r="B233" s="178" t="s">
        <v>426</v>
      </c>
      <c r="C233" s="178">
        <v>171076.51</v>
      </c>
      <c r="D233" s="178">
        <v>0</v>
      </c>
      <c r="E233" s="178">
        <v>171076.51</v>
      </c>
      <c r="F233">
        <v>171076.51</v>
      </c>
      <c r="G233" t="s">
        <v>497</v>
      </c>
    </row>
    <row r="234" spans="1:9">
      <c r="A234" s="178">
        <v>190</v>
      </c>
      <c r="B234" s="178" t="s">
        <v>627</v>
      </c>
      <c r="C234" s="178">
        <v>0</v>
      </c>
      <c r="D234" s="178">
        <v>0</v>
      </c>
      <c r="E234" s="178">
        <v>0</v>
      </c>
      <c r="F234">
        <v>0</v>
      </c>
      <c r="G234" t="s">
        <v>497</v>
      </c>
    </row>
    <row r="235" spans="1:9">
      <c r="A235" s="178">
        <v>200</v>
      </c>
      <c r="B235" s="178" t="s">
        <v>426</v>
      </c>
      <c r="C235" s="178">
        <v>171076.51</v>
      </c>
      <c r="D235" s="178">
        <v>0</v>
      </c>
      <c r="E235" s="178">
        <v>171076.51</v>
      </c>
      <c r="F235">
        <v>171076.51</v>
      </c>
      <c r="G235" t="s">
        <v>497</v>
      </c>
    </row>
    <row r="236" spans="1:9">
      <c r="A236" s="178">
        <v>210</v>
      </c>
      <c r="B236" s="178" t="s">
        <v>264</v>
      </c>
      <c r="C236" s="178">
        <v>171076.51</v>
      </c>
      <c r="D236" s="178">
        <v>0</v>
      </c>
      <c r="E236" s="178">
        <v>171076.51</v>
      </c>
      <c r="F236">
        <v>171076.51</v>
      </c>
      <c r="G236" t="s">
        <v>497</v>
      </c>
    </row>
    <row r="237" spans="1:9">
      <c r="A237" s="178">
        <v>220</v>
      </c>
      <c r="B237" s="178" t="s">
        <v>628</v>
      </c>
      <c r="C237" s="178">
        <v>0</v>
      </c>
      <c r="D237" s="178">
        <v>0</v>
      </c>
      <c r="E237" s="178">
        <v>0</v>
      </c>
      <c r="F237">
        <v>0</v>
      </c>
      <c r="G237" t="s">
        <v>497</v>
      </c>
    </row>
    <row r="238" spans="1:9">
      <c r="A238" s="178">
        <v>230</v>
      </c>
      <c r="B238" s="178" t="s">
        <v>266</v>
      </c>
      <c r="C238" s="178">
        <v>304691.58</v>
      </c>
      <c r="D238" s="178">
        <v>-4526504.52</v>
      </c>
      <c r="E238" s="178">
        <v>-4221812.94</v>
      </c>
      <c r="F238">
        <v>304691.58</v>
      </c>
      <c r="G238" t="s">
        <v>497</v>
      </c>
    </row>
    <row r="239" spans="1:9">
      <c r="A239" s="178">
        <v>235</v>
      </c>
      <c r="B239" s="178" t="s">
        <v>629</v>
      </c>
      <c r="C239" s="178">
        <v>-14633.17</v>
      </c>
      <c r="D239" s="178">
        <v>-12038</v>
      </c>
      <c r="E239" s="178">
        <v>-26671.17</v>
      </c>
      <c r="F239">
        <v>-14633.17</v>
      </c>
      <c r="G239" t="s">
        <v>497</v>
      </c>
    </row>
    <row r="240" spans="1:9">
      <c r="A240" s="178">
        <v>240</v>
      </c>
      <c r="B240" s="178" t="s">
        <v>267</v>
      </c>
      <c r="C240" s="178">
        <v>1484015.79</v>
      </c>
      <c r="D240" s="178">
        <v>-2136550</v>
      </c>
      <c r="E240" s="178">
        <v>-652534.21</v>
      </c>
      <c r="F240">
        <v>1484015.79</v>
      </c>
      <c r="G240" t="s">
        <v>497</v>
      </c>
    </row>
    <row r="241" spans="1:9">
      <c r="A241" s="178">
        <v>250</v>
      </c>
      <c r="B241" s="178" t="s">
        <v>268</v>
      </c>
      <c r="C241" s="178">
        <v>0</v>
      </c>
      <c r="D241" s="178">
        <v>0</v>
      </c>
      <c r="E241" s="178">
        <v>0</v>
      </c>
      <c r="F241">
        <v>0</v>
      </c>
      <c r="G241" t="s">
        <v>497</v>
      </c>
    </row>
    <row r="242" spans="1:9">
      <c r="A242" s="178">
        <v>260</v>
      </c>
      <c r="B242" s="178" t="s">
        <v>630</v>
      </c>
      <c r="C242" s="178">
        <v>-350116.48</v>
      </c>
      <c r="D242" s="178">
        <v>-744176.2</v>
      </c>
      <c r="E242" s="178">
        <v>-1094292.68</v>
      </c>
      <c r="F242">
        <v>-350116.48</v>
      </c>
      <c r="G242" t="s">
        <v>497</v>
      </c>
    </row>
    <row r="243" spans="1:9">
      <c r="A243" s="178">
        <v>270</v>
      </c>
      <c r="B243" s="178" t="s">
        <v>269</v>
      </c>
      <c r="C243" s="178">
        <v>18325.38</v>
      </c>
      <c r="D243" s="178">
        <v>-259276.28</v>
      </c>
      <c r="E243" s="178">
        <v>-240950.9</v>
      </c>
      <c r="F243">
        <v>18325.38</v>
      </c>
      <c r="G243" t="s">
        <v>497</v>
      </c>
    </row>
    <row r="244" spans="1:9">
      <c r="A244" s="178">
        <v>300</v>
      </c>
      <c r="B244" s="178" t="s">
        <v>270</v>
      </c>
      <c r="C244" s="178">
        <v>0</v>
      </c>
      <c r="D244" s="178">
        <v>0</v>
      </c>
      <c r="E244" s="178">
        <v>0</v>
      </c>
      <c r="F244">
        <v>0</v>
      </c>
      <c r="G244" t="s">
        <v>497</v>
      </c>
    </row>
    <row r="245" spans="1:9">
      <c r="A245" s="178">
        <v>310</v>
      </c>
      <c r="B245" s="178" t="s">
        <v>631</v>
      </c>
      <c r="C245" s="178">
        <v>-2214.99</v>
      </c>
      <c r="D245" s="178">
        <v>10961.58</v>
      </c>
      <c r="E245" s="178">
        <v>8746.59</v>
      </c>
      <c r="F245">
        <v>-2214.99</v>
      </c>
      <c r="G245" t="s">
        <v>497</v>
      </c>
    </row>
    <row r="246" spans="1:9">
      <c r="A246" s="178">
        <v>320</v>
      </c>
      <c r="B246" s="178" t="s">
        <v>271</v>
      </c>
      <c r="C246" s="178">
        <v>-334442.78</v>
      </c>
      <c r="D246" s="178">
        <v>6340478.85</v>
      </c>
      <c r="E246" s="178">
        <v>6006036.07</v>
      </c>
      <c r="F246">
        <v>-334442.78</v>
      </c>
      <c r="G246" t="s">
        <v>497</v>
      </c>
    </row>
    <row r="247" spans="1:9">
      <c r="A247" s="178">
        <v>325</v>
      </c>
      <c r="B247" s="178" t="s">
        <v>272</v>
      </c>
      <c r="C247" s="178">
        <v>-1083851.45</v>
      </c>
      <c r="D247" s="178">
        <v>1698692.01</v>
      </c>
      <c r="E247" s="178">
        <v>614840.56</v>
      </c>
      <c r="F247">
        <v>-1083851.45</v>
      </c>
      <c r="G247" t="s">
        <v>497</v>
      </c>
    </row>
    <row r="248" spans="1:9">
      <c r="A248" s="178">
        <v>330</v>
      </c>
      <c r="B248" s="178" t="s">
        <v>632</v>
      </c>
      <c r="C248" s="178">
        <v>344464.25</v>
      </c>
      <c r="D248" s="178">
        <v>267172.8</v>
      </c>
      <c r="E248" s="178">
        <v>611637.05</v>
      </c>
      <c r="F248">
        <v>344464.25</v>
      </c>
      <c r="G248" t="s">
        <v>497</v>
      </c>
    </row>
    <row r="249" spans="1:9">
      <c r="A249" s="178">
        <v>340</v>
      </c>
      <c r="B249" s="178" t="s">
        <v>633</v>
      </c>
      <c r="C249" s="178">
        <v>-425973.98</v>
      </c>
      <c r="D249" s="178">
        <v>1069057.46</v>
      </c>
      <c r="E249" s="178">
        <v>643083.48</v>
      </c>
      <c r="F249">
        <v>-425973.98</v>
      </c>
      <c r="G249" t="s">
        <v>497</v>
      </c>
    </row>
    <row r="250" spans="1:9">
      <c r="A250" s="178">
        <v>380</v>
      </c>
      <c r="B250" s="178" t="s">
        <v>634</v>
      </c>
      <c r="C250" s="178">
        <v>-59735.85</v>
      </c>
      <c r="D250" s="178">
        <v>1707817.7</v>
      </c>
      <c r="E250" s="178">
        <v>1648081.85</v>
      </c>
      <c r="F250">
        <v>-59735.85</v>
      </c>
      <c r="G250" t="s">
        <v>497</v>
      </c>
    </row>
    <row r="251" spans="1:9">
      <c r="A251" s="178">
        <v>390</v>
      </c>
      <c r="B251" s="178" t="s">
        <v>273</v>
      </c>
      <c r="C251" s="178">
        <v>0</v>
      </c>
      <c r="D251" s="178">
        <v>0</v>
      </c>
      <c r="E251" s="178">
        <v>0</v>
      </c>
      <c r="F251">
        <v>0</v>
      </c>
      <c r="G251" t="s">
        <v>497</v>
      </c>
    </row>
    <row r="252" spans="1:9">
      <c r="A252" s="178">
        <v>400</v>
      </c>
      <c r="B252" s="178" t="s">
        <v>274</v>
      </c>
      <c r="C252" s="178">
        <v>0</v>
      </c>
      <c r="D252" s="178">
        <v>0</v>
      </c>
      <c r="E252" s="178">
        <v>0</v>
      </c>
      <c r="F252">
        <v>0</v>
      </c>
      <c r="G252" t="s">
        <v>497</v>
      </c>
    </row>
    <row r="253" spans="1:9">
      <c r="A253" s="178">
        <v>405</v>
      </c>
      <c r="B253" s="178" t="s">
        <v>275</v>
      </c>
      <c r="C253" s="178">
        <v>0</v>
      </c>
      <c r="D253" s="178">
        <v>0</v>
      </c>
      <c r="E253" s="178">
        <v>0</v>
      </c>
      <c r="F253">
        <v>0</v>
      </c>
      <c r="G253" t="s">
        <v>497</v>
      </c>
    </row>
    <row r="254" spans="1:9">
      <c r="A254" s="178">
        <v>410</v>
      </c>
      <c r="B254" s="178" t="s">
        <v>276</v>
      </c>
      <c r="C254" s="178">
        <v>0</v>
      </c>
      <c r="D254" s="178">
        <v>4581000</v>
      </c>
      <c r="E254" s="178">
        <v>4581000</v>
      </c>
      <c r="F254">
        <v>0</v>
      </c>
      <c r="G254" t="s">
        <v>497</v>
      </c>
    </row>
    <row r="255" spans="1:9">
      <c r="A255" s="178">
        <v>420</v>
      </c>
      <c r="B255" s="178" t="s">
        <v>277</v>
      </c>
      <c r="C255" s="178">
        <v>0</v>
      </c>
      <c r="D255" s="178">
        <v>-789455.2</v>
      </c>
      <c r="E255" s="178">
        <v>-789455.2</v>
      </c>
      <c r="F255">
        <v>0</v>
      </c>
      <c r="G255" t="s">
        <v>497</v>
      </c>
    </row>
    <row r="256" spans="1:9">
      <c r="A256" s="178">
        <v>425</v>
      </c>
      <c r="B256" s="178" t="s">
        <v>635</v>
      </c>
      <c r="C256" s="178">
        <v>0</v>
      </c>
      <c r="D256" s="178">
        <v>1087.1</v>
      </c>
      <c r="E256" s="178">
        <v>1087.1</v>
      </c>
      <c r="F256">
        <v>0</v>
      </c>
      <c r="G256" t="s">
        <v>497</v>
      </c>
    </row>
    <row r="257" spans="1:9">
      <c r="A257" s="178">
        <v>427</v>
      </c>
      <c r="B257" s="178" t="s">
        <v>636</v>
      </c>
      <c r="C257" s="178">
        <v>0</v>
      </c>
      <c r="D257" s="178">
        <v>0</v>
      </c>
      <c r="E257" s="178">
        <v>0</v>
      </c>
      <c r="F257">
        <v>0</v>
      </c>
      <c r="G257" t="s">
        <v>497</v>
      </c>
    </row>
    <row r="258" spans="1:9">
      <c r="A258" s="178">
        <v>430</v>
      </c>
      <c r="B258" s="178" t="s">
        <v>279</v>
      </c>
      <c r="C258" s="178">
        <v>0</v>
      </c>
      <c r="D258" s="178">
        <v>-8020589.84</v>
      </c>
      <c r="E258" s="178">
        <v>-8020589.84</v>
      </c>
      <c r="F258">
        <v>0</v>
      </c>
      <c r="G258" t="s">
        <v>497</v>
      </c>
    </row>
    <row r="259" spans="1:9">
      <c r="A259" s="178">
        <v>440</v>
      </c>
      <c r="B259" s="178" t="s">
        <v>280</v>
      </c>
      <c r="C259" s="178">
        <v>0</v>
      </c>
      <c r="D259" s="178">
        <v>-4227957.94</v>
      </c>
      <c r="E259" s="178">
        <v>-4227957.94</v>
      </c>
      <c r="F259">
        <v>0</v>
      </c>
      <c r="G259" t="s">
        <v>497</v>
      </c>
    </row>
    <row r="260" spans="1:9">
      <c r="A260" s="178">
        <v>450</v>
      </c>
      <c r="B260" s="178" t="s">
        <v>281</v>
      </c>
      <c r="C260" s="178">
        <v>0</v>
      </c>
      <c r="D260" s="178">
        <v>0</v>
      </c>
      <c r="E260" s="178">
        <v>0</v>
      </c>
      <c r="F260">
        <v>0</v>
      </c>
      <c r="G260" t="s">
        <v>497</v>
      </c>
    </row>
    <row r="261" spans="1:9">
      <c r="A261" s="178">
        <v>455</v>
      </c>
      <c r="B261" s="178" t="s">
        <v>282</v>
      </c>
      <c r="C261" s="178">
        <v>0</v>
      </c>
      <c r="D261" s="178">
        <v>0</v>
      </c>
      <c r="E261" s="178">
        <v>0</v>
      </c>
      <c r="F261">
        <v>0</v>
      </c>
      <c r="G261" t="s">
        <v>497</v>
      </c>
    </row>
    <row r="262" spans="1:9">
      <c r="A262" s="178">
        <v>456</v>
      </c>
      <c r="B262" s="178" t="s">
        <v>637</v>
      </c>
      <c r="C262" s="178">
        <v>0</v>
      </c>
      <c r="D262" s="178">
        <v>0</v>
      </c>
      <c r="E262" s="178">
        <v>0</v>
      </c>
      <c r="F262">
        <v>0</v>
      </c>
      <c r="G262" t="s">
        <v>497</v>
      </c>
    </row>
    <row r="263" spans="1:9">
      <c r="A263" s="178">
        <v>460</v>
      </c>
      <c r="B263" s="178" t="s">
        <v>283</v>
      </c>
      <c r="C263" s="178">
        <v>-12904.63</v>
      </c>
      <c r="D263" s="178">
        <v>-9454.14</v>
      </c>
      <c r="E263" s="178">
        <v>-22358.77</v>
      </c>
      <c r="F263">
        <v>-12904.63</v>
      </c>
      <c r="G263" t="s">
        <v>497</v>
      </c>
    </row>
    <row r="264" spans="1:9">
      <c r="A264" s="178">
        <v>470</v>
      </c>
      <c r="B264" s="178" t="s">
        <v>638</v>
      </c>
      <c r="C264" s="178">
        <v>0</v>
      </c>
      <c r="D264" s="178">
        <v>4988.64</v>
      </c>
      <c r="E264" s="178">
        <v>4988.64</v>
      </c>
      <c r="F264">
        <v>0</v>
      </c>
      <c r="G264" t="s">
        <v>497</v>
      </c>
    </row>
    <row r="265" spans="1:9">
      <c r="A265" s="178">
        <v>480</v>
      </c>
      <c r="B265" s="178" t="s">
        <v>284</v>
      </c>
      <c r="C265" s="178">
        <v>0</v>
      </c>
      <c r="D265" s="178">
        <v>-2246853.47</v>
      </c>
      <c r="E265" s="178">
        <v>-2246853.47</v>
      </c>
      <c r="F265">
        <v>0</v>
      </c>
      <c r="G265" t="s">
        <v>497</v>
      </c>
    </row>
    <row r="266" spans="1:9">
      <c r="A266" s="178">
        <v>490</v>
      </c>
      <c r="B266" s="178" t="s">
        <v>639</v>
      </c>
      <c r="C266" s="178">
        <v>27550.48</v>
      </c>
      <c r="D266" s="178">
        <v>2282166.36</v>
      </c>
      <c r="E266" s="178">
        <v>2309716.84</v>
      </c>
      <c r="F266">
        <v>27550.48</v>
      </c>
      <c r="G266" t="s">
        <v>497</v>
      </c>
    </row>
    <row r="267" spans="1:9">
      <c r="A267" s="178">
        <v>500</v>
      </c>
      <c r="B267" s="178" t="s">
        <v>285</v>
      </c>
      <c r="C267" s="178">
        <v>0</v>
      </c>
      <c r="D267" s="178">
        <v>-2492292.51</v>
      </c>
      <c r="E267" s="178">
        <v>-2492292.51</v>
      </c>
      <c r="F267">
        <v>0</v>
      </c>
      <c r="G267" t="s">
        <v>497</v>
      </c>
    </row>
    <row r="268" spans="1:9">
      <c r="A268" s="178">
        <v>510</v>
      </c>
      <c r="B268" s="178" t="s">
        <v>640</v>
      </c>
      <c r="C268" s="178">
        <v>14584.6</v>
      </c>
      <c r="D268" s="178">
        <v>2127191.17</v>
      </c>
      <c r="E268" s="178">
        <v>2141775.77</v>
      </c>
      <c r="F268">
        <v>14584.6</v>
      </c>
      <c r="G268" t="s">
        <v>497</v>
      </c>
    </row>
    <row r="269" spans="1:9">
      <c r="A269" s="178">
        <v>512</v>
      </c>
      <c r="B269" s="178" t="s">
        <v>286</v>
      </c>
      <c r="C269" s="178">
        <v>0</v>
      </c>
      <c r="D269" s="178">
        <v>-734490.79</v>
      </c>
      <c r="E269" s="178">
        <v>-734490.79</v>
      </c>
      <c r="F269">
        <v>0</v>
      </c>
      <c r="G269" t="s">
        <v>497</v>
      </c>
    </row>
    <row r="270" spans="1:9">
      <c r="A270" s="178">
        <v>514</v>
      </c>
      <c r="B270" s="178" t="s">
        <v>641</v>
      </c>
      <c r="C270" s="178">
        <v>3041.24</v>
      </c>
      <c r="D270" s="178">
        <v>519187.04</v>
      </c>
      <c r="E270" s="178">
        <v>522228.28</v>
      </c>
      <c r="F270">
        <v>3041.24</v>
      </c>
      <c r="G270" t="s">
        <v>497</v>
      </c>
    </row>
    <row r="271" spans="1:9">
      <c r="A271" s="178">
        <v>520</v>
      </c>
      <c r="B271" s="178" t="s">
        <v>642</v>
      </c>
      <c r="C271" s="178">
        <v>0</v>
      </c>
      <c r="D271" s="178">
        <v>-94916</v>
      </c>
      <c r="E271" s="178">
        <v>-94916</v>
      </c>
      <c r="F271">
        <v>0</v>
      </c>
      <c r="G271" t="s">
        <v>497</v>
      </c>
    </row>
    <row r="272" spans="1:9">
      <c r="A272" s="178">
        <v>530</v>
      </c>
      <c r="B272" s="178" t="s">
        <v>643</v>
      </c>
      <c r="C272" s="178">
        <v>0</v>
      </c>
      <c r="D272" s="178">
        <v>0</v>
      </c>
      <c r="E272" s="178">
        <v>0</v>
      </c>
      <c r="F272">
        <v>0</v>
      </c>
      <c r="G272" t="s">
        <v>497</v>
      </c>
    </row>
    <row r="273" spans="1:9">
      <c r="A273" s="178">
        <v>540</v>
      </c>
      <c r="B273" s="178" t="s">
        <v>644</v>
      </c>
      <c r="C273" s="178">
        <v>0</v>
      </c>
      <c r="D273" s="178">
        <v>-19159.32</v>
      </c>
      <c r="E273" s="178">
        <v>-19159.32</v>
      </c>
      <c r="F273">
        <v>0</v>
      </c>
      <c r="G273" t="s">
        <v>497</v>
      </c>
    </row>
    <row r="274" spans="1:9">
      <c r="A274" s="178">
        <v>550</v>
      </c>
      <c r="B274" s="178" t="s">
        <v>645</v>
      </c>
      <c r="C274" s="178">
        <v>0</v>
      </c>
      <c r="D274" s="178">
        <v>0</v>
      </c>
      <c r="E274" s="178">
        <v>0</v>
      </c>
      <c r="F274">
        <v>0</v>
      </c>
      <c r="G274" t="s">
        <v>497</v>
      </c>
    </row>
    <row r="275" spans="1:9">
      <c r="A275" s="178">
        <v>560</v>
      </c>
      <c r="B275" s="178" t="s">
        <v>646</v>
      </c>
      <c r="C275" s="178">
        <v>0</v>
      </c>
      <c r="D275" s="178">
        <v>-84993.67</v>
      </c>
      <c r="E275" s="178">
        <v>-84993.67</v>
      </c>
      <c r="F275">
        <v>0</v>
      </c>
      <c r="G275" t="s">
        <v>497</v>
      </c>
    </row>
    <row r="276" spans="1:9">
      <c r="A276" s="178">
        <v>570</v>
      </c>
      <c r="B276" s="178" t="s">
        <v>647</v>
      </c>
      <c r="C276" s="178">
        <v>0</v>
      </c>
      <c r="D276" s="178">
        <v>26215.95</v>
      </c>
      <c r="E276" s="178">
        <v>26215.95</v>
      </c>
      <c r="F276">
        <v>0</v>
      </c>
      <c r="G276" t="s">
        <v>497</v>
      </c>
    </row>
    <row r="277" spans="1:9">
      <c r="A277" s="178">
        <v>580</v>
      </c>
      <c r="B277" s="178" t="s">
        <v>290</v>
      </c>
      <c r="C277" s="178">
        <v>0</v>
      </c>
      <c r="D277" s="178">
        <v>0</v>
      </c>
      <c r="E277" s="178">
        <v>0</v>
      </c>
      <c r="F277">
        <v>0</v>
      </c>
      <c r="G277" t="s">
        <v>497</v>
      </c>
    </row>
    <row r="278" spans="1:9">
      <c r="A278" s="178">
        <v>590</v>
      </c>
      <c r="B278" s="178" t="s">
        <v>648</v>
      </c>
      <c r="C278" s="178">
        <v>0</v>
      </c>
      <c r="D278" s="178">
        <v>0</v>
      </c>
      <c r="E278" s="178">
        <v>0</v>
      </c>
      <c r="F278">
        <v>0</v>
      </c>
      <c r="G278" t="s">
        <v>497</v>
      </c>
    </row>
    <row r="279" spans="1:9">
      <c r="A279" s="178">
        <v>600</v>
      </c>
      <c r="B279" s="178" t="s">
        <v>291</v>
      </c>
      <c r="C279" s="178">
        <v>0</v>
      </c>
      <c r="D279" s="178">
        <v>-53858.17</v>
      </c>
      <c r="E279" s="178">
        <v>-53858.17</v>
      </c>
      <c r="F279">
        <v>0</v>
      </c>
      <c r="G279" t="s">
        <v>497</v>
      </c>
    </row>
    <row r="280" spans="1:9">
      <c r="A280" s="178">
        <v>610</v>
      </c>
      <c r="B280" s="178" t="s">
        <v>649</v>
      </c>
      <c r="C280" s="178">
        <v>0</v>
      </c>
      <c r="D280" s="178">
        <v>0</v>
      </c>
      <c r="E280" s="178">
        <v>0</v>
      </c>
      <c r="F280">
        <v>0</v>
      </c>
      <c r="G280" t="s">
        <v>497</v>
      </c>
    </row>
    <row r="281" spans="1:9">
      <c r="A281" s="178">
        <v>620</v>
      </c>
      <c r="B281" s="178" t="s">
        <v>292</v>
      </c>
      <c r="C281" s="178">
        <v>0</v>
      </c>
      <c r="D281" s="178">
        <v>0</v>
      </c>
      <c r="E281" s="178">
        <v>0</v>
      </c>
      <c r="F281">
        <v>0</v>
      </c>
      <c r="G281" t="s">
        <v>497</v>
      </c>
    </row>
    <row r="282" spans="1:9">
      <c r="A282" s="178">
        <v>630</v>
      </c>
      <c r="B282" s="178" t="s">
        <v>293</v>
      </c>
      <c r="C282" s="178">
        <v>0</v>
      </c>
      <c r="D282" s="178">
        <v>0</v>
      </c>
      <c r="E282" s="178">
        <v>0</v>
      </c>
      <c r="F282">
        <v>0</v>
      </c>
      <c r="G282" t="s">
        <v>497</v>
      </c>
    </row>
    <row r="283" spans="1:9">
      <c r="A283" s="178">
        <v>640</v>
      </c>
      <c r="B283" s="178" t="s">
        <v>294</v>
      </c>
      <c r="C283" s="178">
        <v>32271.69</v>
      </c>
      <c r="D283" s="178">
        <v>-776268.91</v>
      </c>
      <c r="E283" s="178">
        <v>-743997.22</v>
      </c>
      <c r="F283">
        <v>32271.69</v>
      </c>
      <c r="G283" t="s">
        <v>497</v>
      </c>
    </row>
    <row r="284" spans="1:9">
      <c r="A284" s="178">
        <v>650</v>
      </c>
      <c r="B284" s="178" t="s">
        <v>295</v>
      </c>
      <c r="C284" s="178">
        <v>143612.35</v>
      </c>
      <c r="D284" s="178">
        <v>-3296409.15</v>
      </c>
      <c r="E284" s="178">
        <v>-3152796.8</v>
      </c>
      <c r="F284">
        <v>143612.35</v>
      </c>
      <c r="G284" t="s">
        <v>497</v>
      </c>
    </row>
    <row r="285" spans="1:9">
      <c r="A285" s="178" t="s">
        <v>435</v>
      </c>
      <c r="B285" s="178" t="s">
        <v>402</v>
      </c>
      <c r="C285" s="178" t="s">
        <v>609</v>
      </c>
      <c r="D285" s="178" t="s">
        <v>610</v>
      </c>
      <c r="E285" s="178" t="s">
        <v>611</v>
      </c>
      <c r="F285" t="s">
        <v>612</v>
      </c>
      <c r="G285" t="s">
        <v>405</v>
      </c>
    </row>
    <row r="286" spans="1:9">
      <c r="A286" s="178">
        <v>10</v>
      </c>
      <c r="B286" s="178" t="s">
        <v>613</v>
      </c>
      <c r="C286" s="178">
        <v>0</v>
      </c>
      <c r="D286" s="178">
        <v>0</v>
      </c>
      <c r="E286" s="178">
        <v>0</v>
      </c>
      <c r="F286">
        <v>0</v>
      </c>
      <c r="G286" t="s">
        <v>497</v>
      </c>
    </row>
    <row r="287" spans="1:9">
      <c r="A287" s="178">
        <v>20</v>
      </c>
      <c r="B287" s="178" t="s">
        <v>406</v>
      </c>
      <c r="C287" s="178">
        <v>325869.6</v>
      </c>
      <c r="D287" s="178">
        <v>0</v>
      </c>
      <c r="E287" s="178">
        <v>325869.6</v>
      </c>
      <c r="F287">
        <v>325869.6</v>
      </c>
      <c r="G287" t="s">
        <v>497</v>
      </c>
    </row>
    <row r="288" spans="1:9">
      <c r="A288" s="178">
        <v>30</v>
      </c>
      <c r="B288" s="178" t="s">
        <v>614</v>
      </c>
      <c r="C288" s="178">
        <v>0</v>
      </c>
      <c r="D288" s="178">
        <v>0</v>
      </c>
      <c r="E288" s="178">
        <v>0</v>
      </c>
      <c r="F288">
        <v>0</v>
      </c>
      <c r="G288" t="s">
        <v>497</v>
      </c>
    </row>
    <row r="289" spans="1:9">
      <c r="A289" s="178">
        <v>35</v>
      </c>
      <c r="B289" s="178" t="s">
        <v>615</v>
      </c>
      <c r="C289" s="178">
        <v>325869.6</v>
      </c>
      <c r="D289" s="178">
        <v>0</v>
      </c>
      <c r="E289" s="178">
        <v>325869.6</v>
      </c>
      <c r="F289">
        <v>325869.6</v>
      </c>
      <c r="G289" t="s">
        <v>497</v>
      </c>
    </row>
    <row r="290" spans="1:9">
      <c r="A290" s="178">
        <v>40</v>
      </c>
      <c r="B290" s="178" t="s">
        <v>616</v>
      </c>
      <c r="C290" s="178">
        <v>210039.06</v>
      </c>
      <c r="D290" s="178">
        <v>0</v>
      </c>
      <c r="E290" s="178">
        <v>210039.06</v>
      </c>
      <c r="F290">
        <v>210039.06</v>
      </c>
      <c r="G290" t="s">
        <v>497</v>
      </c>
    </row>
    <row r="291" spans="1:9">
      <c r="A291" s="178">
        <v>50</v>
      </c>
      <c r="B291" s="178" t="s">
        <v>617</v>
      </c>
      <c r="C291" s="178">
        <v>0</v>
      </c>
      <c r="D291" s="178">
        <v>0</v>
      </c>
      <c r="E291" s="178">
        <v>0</v>
      </c>
      <c r="F291">
        <v>0</v>
      </c>
      <c r="G291" t="s">
        <v>497</v>
      </c>
    </row>
    <row r="292" spans="1:9">
      <c r="A292" s="178">
        <v>60</v>
      </c>
      <c r="B292" s="178" t="s">
        <v>618</v>
      </c>
      <c r="C292" s="178">
        <v>115830.54</v>
      </c>
      <c r="D292" s="178">
        <v>0</v>
      </c>
      <c r="E292" s="178">
        <v>115830.54</v>
      </c>
      <c r="F292">
        <v>115830.54</v>
      </c>
      <c r="G292" t="s">
        <v>497</v>
      </c>
    </row>
    <row r="293" spans="1:9">
      <c r="A293" s="178">
        <v>70</v>
      </c>
      <c r="B293" s="178" t="s">
        <v>412</v>
      </c>
      <c r="C293" s="178">
        <v>0</v>
      </c>
      <c r="D293" s="178">
        <v>0</v>
      </c>
      <c r="E293" s="178">
        <v>0</v>
      </c>
      <c r="F293">
        <v>0</v>
      </c>
      <c r="G293" t="s">
        <v>497</v>
      </c>
    </row>
    <row r="294" spans="1:9">
      <c r="A294" s="178">
        <v>80</v>
      </c>
      <c r="B294" s="178" t="s">
        <v>413</v>
      </c>
      <c r="C294" s="178">
        <v>155484.88</v>
      </c>
      <c r="D294" s="178">
        <v>0</v>
      </c>
      <c r="E294" s="178">
        <v>155484.88</v>
      </c>
      <c r="F294">
        <v>155484.88</v>
      </c>
      <c r="G294" t="s">
        <v>497</v>
      </c>
    </row>
    <row r="295" spans="1:9">
      <c r="A295" s="178">
        <v>90</v>
      </c>
      <c r="B295" s="178" t="s">
        <v>619</v>
      </c>
      <c r="C295" s="178">
        <v>0</v>
      </c>
      <c r="D295" s="178">
        <v>0</v>
      </c>
      <c r="E295" s="178">
        <v>0</v>
      </c>
      <c r="F295">
        <v>0</v>
      </c>
      <c r="G295" t="s">
        <v>497</v>
      </c>
    </row>
    <row r="296" spans="1:9">
      <c r="A296" s="178">
        <v>100</v>
      </c>
      <c r="B296" s="178" t="s">
        <v>620</v>
      </c>
      <c r="C296" s="178">
        <v>-39654.34</v>
      </c>
      <c r="D296" s="178">
        <v>0</v>
      </c>
      <c r="E296" s="178">
        <v>-39654.34</v>
      </c>
      <c r="F296">
        <v>-39654.34</v>
      </c>
      <c r="G296" t="s">
        <v>497</v>
      </c>
    </row>
    <row r="297" spans="1:9">
      <c r="A297" s="178">
        <v>110</v>
      </c>
      <c r="B297" s="178" t="s">
        <v>621</v>
      </c>
      <c r="C297" s="178">
        <v>12.02</v>
      </c>
      <c r="D297" s="178">
        <v>0</v>
      </c>
      <c r="E297" s="178">
        <v>12.02</v>
      </c>
      <c r="F297">
        <v>12.02</v>
      </c>
      <c r="G297" t="s">
        <v>497</v>
      </c>
    </row>
    <row r="298" spans="1:9">
      <c r="A298" s="178">
        <v>120</v>
      </c>
      <c r="B298" s="178" t="s">
        <v>622</v>
      </c>
      <c r="C298" s="178">
        <v>-5595.84</v>
      </c>
      <c r="D298" s="178">
        <v>0</v>
      </c>
      <c r="E298" s="178">
        <v>-5595.84</v>
      </c>
      <c r="F298">
        <v>-5595.84</v>
      </c>
      <c r="G298" t="s">
        <v>497</v>
      </c>
    </row>
    <row r="299" spans="1:9">
      <c r="A299" s="178">
        <v>130</v>
      </c>
      <c r="B299" s="178" t="s">
        <v>623</v>
      </c>
      <c r="C299" s="178">
        <v>867.77</v>
      </c>
      <c r="D299" s="178">
        <v>0</v>
      </c>
      <c r="E299" s="178">
        <v>867.77</v>
      </c>
      <c r="F299">
        <v>867.77</v>
      </c>
      <c r="G299" t="s">
        <v>497</v>
      </c>
    </row>
    <row r="300" spans="1:9">
      <c r="A300" s="178">
        <v>140</v>
      </c>
      <c r="B300" s="178" t="s">
        <v>624</v>
      </c>
      <c r="C300" s="178">
        <v>0</v>
      </c>
      <c r="D300" s="178">
        <v>0</v>
      </c>
      <c r="E300" s="178">
        <v>0</v>
      </c>
      <c r="F300">
        <v>0</v>
      </c>
      <c r="G300" t="s">
        <v>497</v>
      </c>
    </row>
    <row r="301" spans="1:9">
      <c r="A301" s="178">
        <v>145</v>
      </c>
      <c r="B301" s="178" t="s">
        <v>422</v>
      </c>
      <c r="C301" s="178">
        <v>-4716.05</v>
      </c>
      <c r="D301" s="178">
        <v>0</v>
      </c>
      <c r="E301" s="178">
        <v>-4716.05</v>
      </c>
      <c r="F301">
        <v>-4716.05</v>
      </c>
      <c r="G301" t="s">
        <v>497</v>
      </c>
    </row>
    <row r="302" spans="1:9">
      <c r="A302" s="178">
        <v>150</v>
      </c>
      <c r="B302" s="178" t="s">
        <v>625</v>
      </c>
      <c r="C302" s="178">
        <v>-34938.29</v>
      </c>
      <c r="D302" s="178">
        <v>0</v>
      </c>
      <c r="E302" s="178">
        <v>-34938.29</v>
      </c>
      <c r="F302">
        <v>-34938.29</v>
      </c>
      <c r="G302" t="s">
        <v>497</v>
      </c>
    </row>
    <row r="303" spans="1:9">
      <c r="A303" s="178">
        <v>160</v>
      </c>
      <c r="B303" s="178" t="s">
        <v>626</v>
      </c>
      <c r="C303" s="178">
        <v>9463</v>
      </c>
      <c r="D303" s="178">
        <v>0</v>
      </c>
      <c r="E303" s="178">
        <v>9463</v>
      </c>
      <c r="F303">
        <v>9463</v>
      </c>
      <c r="G303" t="s">
        <v>497</v>
      </c>
    </row>
    <row r="304" spans="1:9">
      <c r="A304" s="178">
        <v>170</v>
      </c>
      <c r="B304" s="178" t="s">
        <v>426</v>
      </c>
      <c r="C304" s="178">
        <v>-44401.29</v>
      </c>
      <c r="D304" s="178">
        <v>0</v>
      </c>
      <c r="E304" s="178">
        <v>-44401.29</v>
      </c>
      <c r="F304">
        <v>-44401.29</v>
      </c>
      <c r="G304" t="s">
        <v>497</v>
      </c>
    </row>
    <row r="305" spans="1:9">
      <c r="A305" s="178">
        <v>190</v>
      </c>
      <c r="B305" s="178" t="s">
        <v>627</v>
      </c>
      <c r="C305" s="178">
        <v>0</v>
      </c>
      <c r="D305" s="178">
        <v>0</v>
      </c>
      <c r="E305" s="178">
        <v>0</v>
      </c>
      <c r="F305">
        <v>0</v>
      </c>
      <c r="G305" t="s">
        <v>497</v>
      </c>
    </row>
    <row r="306" spans="1:9">
      <c r="A306" s="178">
        <v>200</v>
      </c>
      <c r="B306" s="178" t="s">
        <v>426</v>
      </c>
      <c r="C306" s="178">
        <v>-44401.29</v>
      </c>
      <c r="D306" s="178">
        <v>0</v>
      </c>
      <c r="E306" s="178">
        <v>-44401.29</v>
      </c>
      <c r="F306">
        <v>-44401.29</v>
      </c>
      <c r="G306" t="s">
        <v>497</v>
      </c>
    </row>
    <row r="307" spans="1:9">
      <c r="A307" s="178">
        <v>210</v>
      </c>
      <c r="B307" s="178" t="s">
        <v>264</v>
      </c>
      <c r="C307" s="178">
        <v>-44401.29</v>
      </c>
      <c r="D307" s="178">
        <v>0</v>
      </c>
      <c r="E307" s="178">
        <v>-44401.29</v>
      </c>
      <c r="F307">
        <v>-44401.29</v>
      </c>
      <c r="G307" t="s">
        <v>497</v>
      </c>
    </row>
    <row r="308" spans="1:9">
      <c r="A308" s="178">
        <v>220</v>
      </c>
      <c r="B308" s="178" t="s">
        <v>628</v>
      </c>
      <c r="C308" s="178">
        <v>0</v>
      </c>
      <c r="D308" s="178">
        <v>0</v>
      </c>
      <c r="E308" s="178">
        <v>0</v>
      </c>
      <c r="F308">
        <v>0</v>
      </c>
      <c r="G308" t="s">
        <v>497</v>
      </c>
    </row>
    <row r="309" spans="1:9">
      <c r="A309" s="178">
        <v>230</v>
      </c>
      <c r="B309" s="178" t="s">
        <v>266</v>
      </c>
      <c r="C309" s="178">
        <v>164983.36</v>
      </c>
      <c r="D309" s="178">
        <v>-834765.74</v>
      </c>
      <c r="E309" s="178">
        <v>-669782.38</v>
      </c>
      <c r="F309">
        <v>164983.36</v>
      </c>
      <c r="G309" t="s">
        <v>497</v>
      </c>
    </row>
    <row r="310" spans="1:9">
      <c r="A310" s="178">
        <v>235</v>
      </c>
      <c r="B310" s="178" t="s">
        <v>629</v>
      </c>
      <c r="C310" s="178">
        <v>0</v>
      </c>
      <c r="D310" s="178">
        <v>0</v>
      </c>
      <c r="E310" s="178">
        <v>0</v>
      </c>
      <c r="F310">
        <v>0</v>
      </c>
      <c r="G310" t="s">
        <v>497</v>
      </c>
    </row>
    <row r="311" spans="1:9">
      <c r="A311" s="178">
        <v>240</v>
      </c>
      <c r="B311" s="178" t="s">
        <v>267</v>
      </c>
      <c r="C311" s="178">
        <v>0.28</v>
      </c>
      <c r="D311" s="178">
        <v>-851891.77</v>
      </c>
      <c r="E311" s="178">
        <v>-851891.49</v>
      </c>
      <c r="F311">
        <v>0.28</v>
      </c>
      <c r="G311" t="s">
        <v>497</v>
      </c>
    </row>
    <row r="312" spans="1:9">
      <c r="A312" s="178">
        <v>250</v>
      </c>
      <c r="B312" s="178" t="s">
        <v>268</v>
      </c>
      <c r="C312" s="178">
        <v>0</v>
      </c>
      <c r="D312" s="178">
        <v>0</v>
      </c>
      <c r="E312" s="178">
        <v>0</v>
      </c>
      <c r="F312">
        <v>0</v>
      </c>
      <c r="G312" t="s">
        <v>497</v>
      </c>
    </row>
    <row r="313" spans="1:9">
      <c r="A313" s="178">
        <v>260</v>
      </c>
      <c r="B313" s="178" t="s">
        <v>630</v>
      </c>
      <c r="C313" s="178">
        <v>-11930.39</v>
      </c>
      <c r="D313" s="178">
        <v>-1292538.21</v>
      </c>
      <c r="E313" s="178">
        <v>-1304468.6</v>
      </c>
      <c r="F313">
        <v>-11930.39</v>
      </c>
      <c r="G313" t="s">
        <v>497</v>
      </c>
    </row>
    <row r="314" spans="1:9">
      <c r="A314" s="178">
        <v>270</v>
      </c>
      <c r="B314" s="178" t="s">
        <v>269</v>
      </c>
      <c r="C314" s="178">
        <v>-19773</v>
      </c>
      <c r="D314" s="178">
        <v>-2059279.92</v>
      </c>
      <c r="E314" s="178">
        <v>-2079052.92</v>
      </c>
      <c r="F314">
        <v>-19773</v>
      </c>
      <c r="G314" t="s">
        <v>497</v>
      </c>
    </row>
    <row r="315" spans="1:9">
      <c r="A315" s="178">
        <v>300</v>
      </c>
      <c r="B315" s="178" t="s">
        <v>270</v>
      </c>
      <c r="C315" s="178">
        <v>0</v>
      </c>
      <c r="D315" s="178">
        <v>0</v>
      </c>
      <c r="E315" s="178">
        <v>0</v>
      </c>
      <c r="F315">
        <v>0</v>
      </c>
      <c r="G315" t="s">
        <v>497</v>
      </c>
    </row>
    <row r="316" spans="1:9">
      <c r="A316" s="178">
        <v>310</v>
      </c>
      <c r="B316" s="178" t="s">
        <v>631</v>
      </c>
      <c r="C316" s="178">
        <v>0</v>
      </c>
      <c r="D316" s="178">
        <v>546935.85</v>
      </c>
      <c r="E316" s="178">
        <v>546935.85</v>
      </c>
      <c r="F316">
        <v>0</v>
      </c>
      <c r="G316" t="s">
        <v>497</v>
      </c>
    </row>
    <row r="317" spans="1:9">
      <c r="A317" s="178">
        <v>320</v>
      </c>
      <c r="B317" s="178" t="s">
        <v>271</v>
      </c>
      <c r="C317" s="178">
        <v>-57430.95</v>
      </c>
      <c r="D317" s="178">
        <v>6054579.8</v>
      </c>
      <c r="E317" s="178">
        <v>5997148.85</v>
      </c>
      <c r="F317">
        <v>-57430.95</v>
      </c>
      <c r="G317" t="s">
        <v>497</v>
      </c>
    </row>
    <row r="318" spans="1:9">
      <c r="A318" s="178">
        <v>325</v>
      </c>
      <c r="B318" s="178" t="s">
        <v>272</v>
      </c>
      <c r="C318" s="178">
        <v>0</v>
      </c>
      <c r="D318" s="178">
        <v>0</v>
      </c>
      <c r="E318" s="178">
        <v>0</v>
      </c>
      <c r="F318">
        <v>0</v>
      </c>
      <c r="G318" t="s">
        <v>497</v>
      </c>
    </row>
    <row r="319" spans="1:9">
      <c r="A319" s="178">
        <v>330</v>
      </c>
      <c r="B319" s="178" t="s">
        <v>632</v>
      </c>
      <c r="C319" s="178">
        <v>-16059.78</v>
      </c>
      <c r="D319" s="178">
        <v>1261212.1</v>
      </c>
      <c r="E319" s="178">
        <v>1245152.32</v>
      </c>
      <c r="F319">
        <v>-16059.78</v>
      </c>
      <c r="G319" t="s">
        <v>497</v>
      </c>
    </row>
    <row r="320" spans="1:9">
      <c r="A320" s="178">
        <v>340</v>
      </c>
      <c r="B320" s="178" t="s">
        <v>633</v>
      </c>
      <c r="C320" s="178">
        <v>9463.4</v>
      </c>
      <c r="D320" s="178">
        <v>3137266.99</v>
      </c>
      <c r="E320" s="178">
        <v>3146730.39</v>
      </c>
      <c r="F320">
        <v>9463.4</v>
      </c>
      <c r="G320" t="s">
        <v>497</v>
      </c>
    </row>
    <row r="321" spans="1:9">
      <c r="A321" s="178">
        <v>380</v>
      </c>
      <c r="B321" s="178" t="s">
        <v>634</v>
      </c>
      <c r="C321" s="178">
        <v>69252.92</v>
      </c>
      <c r="D321" s="178">
        <v>5961519.1</v>
      </c>
      <c r="E321" s="178">
        <v>6030772.02</v>
      </c>
      <c r="F321">
        <v>69252.92</v>
      </c>
      <c r="G321" t="s">
        <v>497</v>
      </c>
    </row>
    <row r="322" spans="1:9">
      <c r="A322" s="178">
        <v>390</v>
      </c>
      <c r="B322" s="178" t="s">
        <v>273</v>
      </c>
      <c r="C322" s="178">
        <v>0</v>
      </c>
      <c r="D322" s="178">
        <v>0</v>
      </c>
      <c r="E322" s="178">
        <v>0</v>
      </c>
      <c r="F322">
        <v>0</v>
      </c>
      <c r="G322" t="s">
        <v>497</v>
      </c>
    </row>
    <row r="323" spans="1:9">
      <c r="A323" s="178">
        <v>400</v>
      </c>
      <c r="B323" s="178" t="s">
        <v>274</v>
      </c>
      <c r="C323" s="178">
        <v>0</v>
      </c>
      <c r="D323" s="178">
        <v>0</v>
      </c>
      <c r="E323" s="178">
        <v>0</v>
      </c>
      <c r="F323">
        <v>0</v>
      </c>
      <c r="G323" t="s">
        <v>497</v>
      </c>
    </row>
    <row r="324" spans="1:9">
      <c r="A324" s="178">
        <v>405</v>
      </c>
      <c r="B324" s="178" t="s">
        <v>275</v>
      </c>
      <c r="C324" s="178">
        <v>0</v>
      </c>
      <c r="D324" s="178">
        <v>0</v>
      </c>
      <c r="E324" s="178">
        <v>0</v>
      </c>
      <c r="F324">
        <v>0</v>
      </c>
      <c r="G324" t="s">
        <v>497</v>
      </c>
    </row>
    <row r="325" spans="1:9">
      <c r="A325" s="178">
        <v>410</v>
      </c>
      <c r="B325" s="178" t="s">
        <v>276</v>
      </c>
      <c r="C325" s="178">
        <v>0</v>
      </c>
      <c r="D325" s="178">
        <v>53000</v>
      </c>
      <c r="E325" s="178">
        <v>53000</v>
      </c>
      <c r="F325">
        <v>0</v>
      </c>
      <c r="G325" t="s">
        <v>497</v>
      </c>
    </row>
    <row r="326" spans="1:9">
      <c r="A326" s="178">
        <v>420</v>
      </c>
      <c r="B326" s="178" t="s">
        <v>277</v>
      </c>
      <c r="C326" s="178">
        <v>0</v>
      </c>
      <c r="D326" s="178">
        <v>-3573015.27</v>
      </c>
      <c r="E326" s="178">
        <v>-3573015.27</v>
      </c>
      <c r="F326">
        <v>0</v>
      </c>
      <c r="G326" t="s">
        <v>497</v>
      </c>
    </row>
    <row r="327" spans="1:9">
      <c r="A327" s="178">
        <v>425</v>
      </c>
      <c r="B327" s="178" t="s">
        <v>635</v>
      </c>
      <c r="C327" s="178">
        <v>0</v>
      </c>
      <c r="D327" s="178">
        <v>0</v>
      </c>
      <c r="E327" s="178">
        <v>0</v>
      </c>
      <c r="F327">
        <v>0</v>
      </c>
      <c r="G327" t="s">
        <v>497</v>
      </c>
    </row>
    <row r="328" spans="1:9">
      <c r="A328" s="178">
        <v>427</v>
      </c>
      <c r="B328" s="178" t="s">
        <v>636</v>
      </c>
      <c r="C328" s="178">
        <v>0</v>
      </c>
      <c r="D328" s="178">
        <v>0</v>
      </c>
      <c r="E328" s="178">
        <v>0</v>
      </c>
      <c r="F328">
        <v>0</v>
      </c>
      <c r="G328" t="s">
        <v>497</v>
      </c>
    </row>
    <row r="329" spans="1:9">
      <c r="A329" s="178">
        <v>430</v>
      </c>
      <c r="B329" s="178" t="s">
        <v>279</v>
      </c>
      <c r="C329" s="178">
        <v>0</v>
      </c>
      <c r="D329" s="178">
        <v>-2139254.09</v>
      </c>
      <c r="E329" s="178">
        <v>-2139254.09</v>
      </c>
      <c r="F329">
        <v>0</v>
      </c>
      <c r="G329" t="s">
        <v>497</v>
      </c>
    </row>
    <row r="330" spans="1:9">
      <c r="A330" s="178">
        <v>440</v>
      </c>
      <c r="B330" s="178" t="s">
        <v>280</v>
      </c>
      <c r="C330" s="178">
        <v>0</v>
      </c>
      <c r="D330" s="178">
        <v>-5659269.36</v>
      </c>
      <c r="E330" s="178">
        <v>-5659269.36</v>
      </c>
      <c r="F330">
        <v>0</v>
      </c>
      <c r="G330" t="s">
        <v>497</v>
      </c>
    </row>
    <row r="331" spans="1:9">
      <c r="A331" s="178">
        <v>450</v>
      </c>
      <c r="B331" s="178" t="s">
        <v>281</v>
      </c>
      <c r="C331" s="178">
        <v>0</v>
      </c>
      <c r="D331" s="178">
        <v>0</v>
      </c>
      <c r="E331" s="178">
        <v>0</v>
      </c>
      <c r="F331">
        <v>0</v>
      </c>
      <c r="G331" t="s">
        <v>497</v>
      </c>
    </row>
    <row r="332" spans="1:9">
      <c r="A332" s="178">
        <v>455</v>
      </c>
      <c r="B332" s="178" t="s">
        <v>282</v>
      </c>
      <c r="C332" s="178">
        <v>0</v>
      </c>
      <c r="D332" s="178">
        <v>0</v>
      </c>
      <c r="E332" s="178">
        <v>0</v>
      </c>
      <c r="F332">
        <v>0</v>
      </c>
      <c r="G332" t="s">
        <v>497</v>
      </c>
    </row>
    <row r="333" spans="1:9">
      <c r="A333" s="178">
        <v>456</v>
      </c>
      <c r="B333" s="178" t="s">
        <v>637</v>
      </c>
      <c r="C333" s="178">
        <v>0</v>
      </c>
      <c r="D333" s="178">
        <v>0</v>
      </c>
      <c r="E333" s="178">
        <v>0</v>
      </c>
      <c r="F333">
        <v>0</v>
      </c>
      <c r="G333" t="s">
        <v>497</v>
      </c>
    </row>
    <row r="334" spans="1:9">
      <c r="A334" s="178">
        <v>460</v>
      </c>
      <c r="B334" s="178" t="s">
        <v>283</v>
      </c>
      <c r="C334" s="178">
        <v>0</v>
      </c>
      <c r="D334" s="178">
        <v>0</v>
      </c>
      <c r="E334" s="178">
        <v>0</v>
      </c>
      <c r="F334">
        <v>0</v>
      </c>
      <c r="G334" t="s">
        <v>497</v>
      </c>
    </row>
    <row r="335" spans="1:9">
      <c r="A335" s="178">
        <v>470</v>
      </c>
      <c r="B335" s="178" t="s">
        <v>638</v>
      </c>
      <c r="C335" s="178">
        <v>0</v>
      </c>
      <c r="D335" s="178">
        <v>0</v>
      </c>
      <c r="E335" s="178">
        <v>0</v>
      </c>
      <c r="F335">
        <v>0</v>
      </c>
      <c r="G335" t="s">
        <v>497</v>
      </c>
    </row>
    <row r="336" spans="1:9">
      <c r="A336" s="178">
        <v>480</v>
      </c>
      <c r="B336" s="178" t="s">
        <v>284</v>
      </c>
      <c r="C336" s="178">
        <v>0</v>
      </c>
      <c r="D336" s="178">
        <v>0</v>
      </c>
      <c r="E336" s="178">
        <v>0</v>
      </c>
      <c r="F336">
        <v>0</v>
      </c>
      <c r="G336" t="s">
        <v>497</v>
      </c>
    </row>
    <row r="337" spans="1:9">
      <c r="A337" s="178">
        <v>490</v>
      </c>
      <c r="B337" s="178" t="s">
        <v>639</v>
      </c>
      <c r="C337" s="178">
        <v>0</v>
      </c>
      <c r="D337" s="178">
        <v>0</v>
      </c>
      <c r="E337" s="178">
        <v>0</v>
      </c>
      <c r="F337">
        <v>0</v>
      </c>
      <c r="G337" t="s">
        <v>497</v>
      </c>
    </row>
    <row r="338" spans="1:9">
      <c r="A338" s="178">
        <v>500</v>
      </c>
      <c r="B338" s="178" t="s">
        <v>285</v>
      </c>
      <c r="C338" s="178">
        <v>0</v>
      </c>
      <c r="D338" s="178">
        <v>0</v>
      </c>
      <c r="E338" s="178">
        <v>0</v>
      </c>
      <c r="F338">
        <v>0</v>
      </c>
      <c r="G338" t="s">
        <v>497</v>
      </c>
    </row>
    <row r="339" spans="1:9">
      <c r="A339" s="178">
        <v>510</v>
      </c>
      <c r="B339" s="178" t="s">
        <v>640</v>
      </c>
      <c r="C339" s="178">
        <v>0</v>
      </c>
      <c r="D339" s="178">
        <v>0</v>
      </c>
      <c r="E339" s="178">
        <v>0</v>
      </c>
      <c r="F339">
        <v>0</v>
      </c>
      <c r="G339" t="s">
        <v>497</v>
      </c>
    </row>
    <row r="340" spans="1:9">
      <c r="A340" s="178">
        <v>512</v>
      </c>
      <c r="B340" s="178" t="s">
        <v>286</v>
      </c>
      <c r="C340" s="178">
        <v>0</v>
      </c>
      <c r="D340" s="178">
        <v>-52937.3</v>
      </c>
      <c r="E340" s="178">
        <v>-52937.3</v>
      </c>
      <c r="F340">
        <v>0</v>
      </c>
      <c r="G340" t="s">
        <v>497</v>
      </c>
    </row>
    <row r="341" spans="1:9">
      <c r="A341" s="178">
        <v>514</v>
      </c>
      <c r="B341" s="178" t="s">
        <v>641</v>
      </c>
      <c r="C341" s="178">
        <v>0</v>
      </c>
      <c r="D341" s="178">
        <v>12263.73</v>
      </c>
      <c r="E341" s="178">
        <v>12263.73</v>
      </c>
      <c r="F341">
        <v>0</v>
      </c>
      <c r="G341" t="s">
        <v>497</v>
      </c>
    </row>
    <row r="342" spans="1:9">
      <c r="A342" s="178">
        <v>520</v>
      </c>
      <c r="B342" s="178" t="s">
        <v>642</v>
      </c>
      <c r="C342" s="178">
        <v>0</v>
      </c>
      <c r="D342" s="178">
        <v>0</v>
      </c>
      <c r="E342" s="178">
        <v>0</v>
      </c>
      <c r="F342">
        <v>0</v>
      </c>
      <c r="G342" t="s">
        <v>497</v>
      </c>
    </row>
    <row r="343" spans="1:9">
      <c r="A343" s="178">
        <v>530</v>
      </c>
      <c r="B343" s="178" t="s">
        <v>643</v>
      </c>
      <c r="C343" s="178">
        <v>0</v>
      </c>
      <c r="D343" s="178">
        <v>0</v>
      </c>
      <c r="E343" s="178">
        <v>0</v>
      </c>
      <c r="F343">
        <v>0</v>
      </c>
      <c r="G343" t="s">
        <v>497</v>
      </c>
    </row>
    <row r="344" spans="1:9">
      <c r="A344" s="178">
        <v>540</v>
      </c>
      <c r="B344" s="178" t="s">
        <v>644</v>
      </c>
      <c r="C344" s="178">
        <v>0</v>
      </c>
      <c r="D344" s="178">
        <v>0</v>
      </c>
      <c r="E344" s="178">
        <v>0</v>
      </c>
      <c r="F344">
        <v>0</v>
      </c>
      <c r="G344" t="s">
        <v>497</v>
      </c>
    </row>
    <row r="345" spans="1:9">
      <c r="A345" s="178">
        <v>550</v>
      </c>
      <c r="B345" s="178" t="s">
        <v>645</v>
      </c>
      <c r="C345" s="178">
        <v>0</v>
      </c>
      <c r="D345" s="178">
        <v>0</v>
      </c>
      <c r="E345" s="178">
        <v>0</v>
      </c>
      <c r="F345">
        <v>0</v>
      </c>
      <c r="G345" t="s">
        <v>497</v>
      </c>
    </row>
    <row r="346" spans="1:9">
      <c r="A346" s="178">
        <v>560</v>
      </c>
      <c r="B346" s="178" t="s">
        <v>646</v>
      </c>
      <c r="C346" s="178">
        <v>0</v>
      </c>
      <c r="D346" s="178">
        <v>0</v>
      </c>
      <c r="E346" s="178">
        <v>0</v>
      </c>
      <c r="F346">
        <v>0</v>
      </c>
      <c r="G346" t="s">
        <v>497</v>
      </c>
    </row>
    <row r="347" spans="1:9">
      <c r="A347" s="178">
        <v>570</v>
      </c>
      <c r="B347" s="178" t="s">
        <v>647</v>
      </c>
      <c r="C347" s="178">
        <v>0</v>
      </c>
      <c r="D347" s="178">
        <v>0</v>
      </c>
      <c r="E347" s="178">
        <v>0</v>
      </c>
      <c r="F347">
        <v>0</v>
      </c>
      <c r="G347" t="s">
        <v>497</v>
      </c>
    </row>
    <row r="348" spans="1:9">
      <c r="A348" s="178">
        <v>580</v>
      </c>
      <c r="B348" s="178" t="s">
        <v>290</v>
      </c>
      <c r="C348" s="178">
        <v>0</v>
      </c>
      <c r="D348" s="178">
        <v>0</v>
      </c>
      <c r="E348" s="178">
        <v>0</v>
      </c>
      <c r="F348">
        <v>0</v>
      </c>
      <c r="G348" t="s">
        <v>497</v>
      </c>
    </row>
    <row r="349" spans="1:9">
      <c r="A349" s="178">
        <v>590</v>
      </c>
      <c r="B349" s="178" t="s">
        <v>648</v>
      </c>
      <c r="C349" s="178">
        <v>0</v>
      </c>
      <c r="D349" s="178">
        <v>0</v>
      </c>
      <c r="E349" s="178">
        <v>0</v>
      </c>
      <c r="F349">
        <v>0</v>
      </c>
      <c r="G349" t="s">
        <v>497</v>
      </c>
    </row>
    <row r="350" spans="1:9">
      <c r="A350" s="178">
        <v>600</v>
      </c>
      <c r="B350" s="178" t="s">
        <v>291</v>
      </c>
      <c r="C350" s="178">
        <v>0</v>
      </c>
      <c r="D350" s="178">
        <v>0</v>
      </c>
      <c r="E350" s="178">
        <v>0</v>
      </c>
      <c r="F350">
        <v>0</v>
      </c>
      <c r="G350" t="s">
        <v>497</v>
      </c>
    </row>
    <row r="351" spans="1:9">
      <c r="A351" s="178">
        <v>610</v>
      </c>
      <c r="B351" s="178" t="s">
        <v>649</v>
      </c>
      <c r="C351" s="178">
        <v>0</v>
      </c>
      <c r="D351" s="178">
        <v>0</v>
      </c>
      <c r="E351" s="178">
        <v>0</v>
      </c>
      <c r="F351">
        <v>0</v>
      </c>
      <c r="G351" t="s">
        <v>497</v>
      </c>
    </row>
    <row r="352" spans="1:9">
      <c r="A352" s="178">
        <v>620</v>
      </c>
      <c r="B352" s="178" t="s">
        <v>292</v>
      </c>
      <c r="C352" s="178">
        <v>0</v>
      </c>
      <c r="D352" s="178">
        <v>0</v>
      </c>
      <c r="E352" s="178">
        <v>0</v>
      </c>
      <c r="F352">
        <v>0</v>
      </c>
      <c r="G352" t="s">
        <v>497</v>
      </c>
    </row>
    <row r="353" spans="1:9">
      <c r="A353" s="178">
        <v>630</v>
      </c>
      <c r="B353" s="178" t="s">
        <v>293</v>
      </c>
      <c r="C353" s="178">
        <v>0</v>
      </c>
      <c r="D353" s="178">
        <v>0</v>
      </c>
      <c r="E353" s="178">
        <v>0</v>
      </c>
      <c r="F353">
        <v>0</v>
      </c>
      <c r="G353" t="s">
        <v>497</v>
      </c>
    </row>
    <row r="354" spans="1:9">
      <c r="A354" s="178">
        <v>640</v>
      </c>
      <c r="B354" s="178" t="s">
        <v>294</v>
      </c>
      <c r="C354" s="178">
        <v>0</v>
      </c>
      <c r="D354" s="178">
        <v>-40673.57</v>
      </c>
      <c r="E354" s="178">
        <v>-40673.57</v>
      </c>
      <c r="F354">
        <v>0</v>
      </c>
      <c r="G354" t="s">
        <v>497</v>
      </c>
    </row>
    <row r="355" spans="1:9">
      <c r="A355" s="178">
        <v>650</v>
      </c>
      <c r="B355" s="178" t="s">
        <v>295</v>
      </c>
      <c r="C355" s="178">
        <v>24851.63</v>
      </c>
      <c r="D355" s="178">
        <v>261576.17</v>
      </c>
      <c r="E355" s="178">
        <v>286427.8</v>
      </c>
      <c r="F355">
        <v>24851.63</v>
      </c>
      <c r="G355" t="s">
        <v>497</v>
      </c>
    </row>
    <row r="356" spans="1:9">
      <c r="A356" s="178" t="s">
        <v>436</v>
      </c>
      <c r="B356" s="178" t="s">
        <v>402</v>
      </c>
      <c r="C356" s="178" t="s">
        <v>609</v>
      </c>
      <c r="D356" s="178" t="s">
        <v>610</v>
      </c>
      <c r="E356" s="178" t="s">
        <v>611</v>
      </c>
      <c r="F356" t="s">
        <v>612</v>
      </c>
      <c r="G356" t="s">
        <v>405</v>
      </c>
    </row>
    <row r="357" spans="1:9">
      <c r="A357" s="178">
        <v>10</v>
      </c>
      <c r="B357" s="178" t="s">
        <v>613</v>
      </c>
      <c r="C357" s="178">
        <v>0</v>
      </c>
      <c r="D357" s="178">
        <v>0</v>
      </c>
      <c r="E357" s="178">
        <v>0</v>
      </c>
      <c r="F357">
        <v>0</v>
      </c>
      <c r="G357" t="s">
        <v>497</v>
      </c>
    </row>
    <row r="358" spans="1:9">
      <c r="A358" s="178">
        <v>20</v>
      </c>
      <c r="B358" s="178" t="s">
        <v>406</v>
      </c>
      <c r="C358" s="178">
        <v>264060</v>
      </c>
      <c r="D358" s="178">
        <v>0</v>
      </c>
      <c r="E358" s="178">
        <v>264060</v>
      </c>
      <c r="F358">
        <v>264060</v>
      </c>
      <c r="G358" t="s">
        <v>497</v>
      </c>
    </row>
    <row r="359" spans="1:9">
      <c r="A359" s="178">
        <v>30</v>
      </c>
      <c r="B359" s="178" t="s">
        <v>614</v>
      </c>
      <c r="C359" s="178">
        <v>0</v>
      </c>
      <c r="D359" s="178">
        <v>0</v>
      </c>
      <c r="E359" s="178">
        <v>0</v>
      </c>
      <c r="F359">
        <v>0</v>
      </c>
      <c r="G359" t="s">
        <v>497</v>
      </c>
    </row>
    <row r="360" spans="1:9">
      <c r="A360" s="178">
        <v>35</v>
      </c>
      <c r="B360" s="178" t="s">
        <v>615</v>
      </c>
      <c r="C360" s="178">
        <v>264060</v>
      </c>
      <c r="D360" s="178">
        <v>0</v>
      </c>
      <c r="E360" s="178">
        <v>264060</v>
      </c>
      <c r="F360">
        <v>264060</v>
      </c>
      <c r="G360" t="s">
        <v>497</v>
      </c>
    </row>
    <row r="361" spans="1:9">
      <c r="A361" s="178">
        <v>40</v>
      </c>
      <c r="B361" s="178" t="s">
        <v>616</v>
      </c>
      <c r="C361" s="178">
        <v>0</v>
      </c>
      <c r="D361" s="178">
        <v>0</v>
      </c>
      <c r="E361" s="178">
        <v>0</v>
      </c>
      <c r="F361">
        <v>0</v>
      </c>
      <c r="G361" t="s">
        <v>497</v>
      </c>
    </row>
    <row r="362" spans="1:9">
      <c r="A362" s="178">
        <v>50</v>
      </c>
      <c r="B362" s="178" t="s">
        <v>617</v>
      </c>
      <c r="C362" s="178">
        <v>0</v>
      </c>
      <c r="D362" s="178">
        <v>0</v>
      </c>
      <c r="E362" s="178">
        <v>0</v>
      </c>
      <c r="F362">
        <v>0</v>
      </c>
      <c r="G362" t="s">
        <v>497</v>
      </c>
    </row>
    <row r="363" spans="1:9">
      <c r="A363" s="178">
        <v>60</v>
      </c>
      <c r="B363" s="178" t="s">
        <v>618</v>
      </c>
      <c r="C363" s="178">
        <v>264060</v>
      </c>
      <c r="D363" s="178">
        <v>0</v>
      </c>
      <c r="E363" s="178">
        <v>264060</v>
      </c>
      <c r="F363">
        <v>264060</v>
      </c>
      <c r="G363" t="s">
        <v>497</v>
      </c>
    </row>
    <row r="364" spans="1:9">
      <c r="A364" s="178">
        <v>70</v>
      </c>
      <c r="B364" s="178" t="s">
        <v>412</v>
      </c>
      <c r="C364" s="178">
        <v>0</v>
      </c>
      <c r="D364" s="178">
        <v>0</v>
      </c>
      <c r="E364" s="178">
        <v>0</v>
      </c>
      <c r="F364">
        <v>0</v>
      </c>
      <c r="G364" t="s">
        <v>497</v>
      </c>
    </row>
    <row r="365" spans="1:9">
      <c r="A365" s="178">
        <v>80</v>
      </c>
      <c r="B365" s="178" t="s">
        <v>413</v>
      </c>
      <c r="C365" s="178">
        <v>168234.55</v>
      </c>
      <c r="D365" s="178">
        <v>0</v>
      </c>
      <c r="E365" s="178">
        <v>168234.55</v>
      </c>
      <c r="F365">
        <v>168234.55</v>
      </c>
      <c r="G365" t="s">
        <v>497</v>
      </c>
    </row>
    <row r="366" spans="1:9">
      <c r="A366" s="178">
        <v>90</v>
      </c>
      <c r="B366" s="178" t="s">
        <v>619</v>
      </c>
      <c r="C366" s="178">
        <v>46872.08</v>
      </c>
      <c r="D366" s="178">
        <v>0</v>
      </c>
      <c r="E366" s="178">
        <v>46872.08</v>
      </c>
      <c r="F366">
        <v>46872.08</v>
      </c>
      <c r="G366" t="s">
        <v>497</v>
      </c>
    </row>
    <row r="367" spans="1:9">
      <c r="A367" s="178">
        <v>100</v>
      </c>
      <c r="B367" s="178" t="s">
        <v>620</v>
      </c>
      <c r="C367" s="178">
        <v>48953.37</v>
      </c>
      <c r="D367" s="178">
        <v>0</v>
      </c>
      <c r="E367" s="178">
        <v>48953.37</v>
      </c>
      <c r="F367">
        <v>48953.37</v>
      </c>
      <c r="G367" t="s">
        <v>497</v>
      </c>
    </row>
    <row r="368" spans="1:9">
      <c r="A368" s="178">
        <v>110</v>
      </c>
      <c r="B368" s="178" t="s">
        <v>621</v>
      </c>
      <c r="C368" s="178">
        <v>-130.09</v>
      </c>
      <c r="D368" s="178">
        <v>0</v>
      </c>
      <c r="E368" s="178">
        <v>-130.09</v>
      </c>
      <c r="F368">
        <v>-130.09</v>
      </c>
      <c r="G368" t="s">
        <v>497</v>
      </c>
    </row>
    <row r="369" spans="1:9">
      <c r="A369" s="178">
        <v>120</v>
      </c>
      <c r="B369" s="178" t="s">
        <v>622</v>
      </c>
      <c r="C369" s="178">
        <v>0</v>
      </c>
      <c r="D369" s="178">
        <v>0</v>
      </c>
      <c r="E369" s="178">
        <v>0</v>
      </c>
      <c r="F369">
        <v>0</v>
      </c>
      <c r="G369" t="s">
        <v>497</v>
      </c>
    </row>
    <row r="370" spans="1:9">
      <c r="A370" s="178">
        <v>130</v>
      </c>
      <c r="B370" s="178" t="s">
        <v>623</v>
      </c>
      <c r="C370" s="178">
        <v>1534.25</v>
      </c>
      <c r="D370" s="178">
        <v>0</v>
      </c>
      <c r="E370" s="178">
        <v>1534.25</v>
      </c>
      <c r="F370">
        <v>1534.25</v>
      </c>
      <c r="G370" t="s">
        <v>497</v>
      </c>
    </row>
    <row r="371" spans="1:9">
      <c r="A371" s="178">
        <v>140</v>
      </c>
      <c r="B371" s="178" t="s">
        <v>624</v>
      </c>
      <c r="C371" s="178">
        <v>0.08</v>
      </c>
      <c r="D371" s="178">
        <v>0</v>
      </c>
      <c r="E371" s="178">
        <v>0.08</v>
      </c>
      <c r="F371">
        <v>0.08</v>
      </c>
      <c r="G371" t="s">
        <v>497</v>
      </c>
    </row>
    <row r="372" spans="1:9">
      <c r="A372" s="178">
        <v>145</v>
      </c>
      <c r="B372" s="178" t="s">
        <v>422</v>
      </c>
      <c r="C372" s="178">
        <v>1404.08</v>
      </c>
      <c r="D372" s="178">
        <v>0</v>
      </c>
      <c r="E372" s="178">
        <v>1404.08</v>
      </c>
      <c r="F372">
        <v>1404.08</v>
      </c>
      <c r="G372" t="s">
        <v>497</v>
      </c>
    </row>
    <row r="373" spans="1:9">
      <c r="A373" s="178">
        <v>150</v>
      </c>
      <c r="B373" s="178" t="s">
        <v>625</v>
      </c>
      <c r="C373" s="178">
        <v>47549.29</v>
      </c>
      <c r="D373" s="178">
        <v>0</v>
      </c>
      <c r="E373" s="178">
        <v>47549.29</v>
      </c>
      <c r="F373">
        <v>47549.29</v>
      </c>
      <c r="G373" t="s">
        <v>497</v>
      </c>
    </row>
    <row r="374" spans="1:9">
      <c r="A374" s="178">
        <v>160</v>
      </c>
      <c r="B374" s="178" t="s">
        <v>626</v>
      </c>
      <c r="C374" s="178">
        <v>30776</v>
      </c>
      <c r="D374" s="178">
        <v>0</v>
      </c>
      <c r="E374" s="178">
        <v>30776</v>
      </c>
      <c r="F374">
        <v>30776</v>
      </c>
      <c r="G374" t="s">
        <v>497</v>
      </c>
    </row>
    <row r="375" spans="1:9">
      <c r="A375" s="178">
        <v>170</v>
      </c>
      <c r="B375" s="178" t="s">
        <v>426</v>
      </c>
      <c r="C375" s="178">
        <v>16773.29</v>
      </c>
      <c r="D375" s="178">
        <v>0</v>
      </c>
      <c r="E375" s="178">
        <v>16773.29</v>
      </c>
      <c r="F375">
        <v>16773.29</v>
      </c>
      <c r="G375" t="s">
        <v>497</v>
      </c>
    </row>
    <row r="376" spans="1:9">
      <c r="A376" s="178">
        <v>190</v>
      </c>
      <c r="B376" s="178" t="s">
        <v>627</v>
      </c>
      <c r="C376" s="178">
        <v>0</v>
      </c>
      <c r="D376" s="178">
        <v>0</v>
      </c>
      <c r="E376" s="178">
        <v>0</v>
      </c>
      <c r="F376">
        <v>0</v>
      </c>
      <c r="G376" t="s">
        <v>497</v>
      </c>
    </row>
    <row r="377" spans="1:9">
      <c r="A377" s="178">
        <v>200</v>
      </c>
      <c r="B377" s="178" t="s">
        <v>426</v>
      </c>
      <c r="C377" s="178">
        <v>16773.29</v>
      </c>
      <c r="D377" s="178">
        <v>0</v>
      </c>
      <c r="E377" s="178">
        <v>16773.29</v>
      </c>
      <c r="F377">
        <v>16773.29</v>
      </c>
      <c r="G377" t="s">
        <v>497</v>
      </c>
    </row>
    <row r="378" spans="1:9">
      <c r="A378" s="178">
        <v>210</v>
      </c>
      <c r="B378" s="178" t="s">
        <v>264</v>
      </c>
      <c r="C378" s="178">
        <v>16773.29</v>
      </c>
      <c r="D378" s="178">
        <v>0</v>
      </c>
      <c r="E378" s="178">
        <v>16773.29</v>
      </c>
      <c r="F378">
        <v>16773.29</v>
      </c>
      <c r="G378" t="s">
        <v>497</v>
      </c>
    </row>
    <row r="379" spans="1:9">
      <c r="A379" s="178">
        <v>220</v>
      </c>
      <c r="B379" s="178" t="s">
        <v>628</v>
      </c>
      <c r="C379" s="178">
        <v>0</v>
      </c>
      <c r="D379" s="178">
        <v>0</v>
      </c>
      <c r="E379" s="178">
        <v>0</v>
      </c>
      <c r="F379">
        <v>0</v>
      </c>
      <c r="G379" t="s">
        <v>497</v>
      </c>
    </row>
    <row r="380" spans="1:9">
      <c r="A380" s="178">
        <v>230</v>
      </c>
      <c r="B380" s="178" t="s">
        <v>266</v>
      </c>
      <c r="C380" s="178">
        <v>-38522.32</v>
      </c>
      <c r="D380" s="178">
        <v>-1297332.26</v>
      </c>
      <c r="E380" s="178">
        <v>-1335854.58</v>
      </c>
      <c r="F380">
        <v>-38522.32</v>
      </c>
      <c r="G380" t="s">
        <v>497</v>
      </c>
    </row>
    <row r="381" spans="1:9">
      <c r="A381" s="178">
        <v>235</v>
      </c>
      <c r="B381" s="178" t="s">
        <v>629</v>
      </c>
      <c r="C381" s="178">
        <v>0</v>
      </c>
      <c r="D381" s="178">
        <v>0</v>
      </c>
      <c r="E381" s="178">
        <v>0</v>
      </c>
      <c r="F381">
        <v>0</v>
      </c>
      <c r="G381" t="s">
        <v>497</v>
      </c>
    </row>
    <row r="382" spans="1:9">
      <c r="A382" s="178">
        <v>240</v>
      </c>
      <c r="B382" s="178" t="s">
        <v>267</v>
      </c>
      <c r="C382" s="178">
        <v>0</v>
      </c>
      <c r="D382" s="178">
        <v>-1247491</v>
      </c>
      <c r="E382" s="178">
        <v>-1247491</v>
      </c>
      <c r="F382">
        <v>0</v>
      </c>
      <c r="G382" t="s">
        <v>497</v>
      </c>
    </row>
    <row r="383" spans="1:9">
      <c r="A383" s="178">
        <v>250</v>
      </c>
      <c r="B383" s="178" t="s">
        <v>268</v>
      </c>
      <c r="C383" s="178">
        <v>0</v>
      </c>
      <c r="D383" s="178">
        <v>0</v>
      </c>
      <c r="E383" s="178">
        <v>0</v>
      </c>
      <c r="F383">
        <v>0</v>
      </c>
      <c r="G383" t="s">
        <v>497</v>
      </c>
    </row>
    <row r="384" spans="1:9">
      <c r="A384" s="178">
        <v>260</v>
      </c>
      <c r="B384" s="178" t="s">
        <v>630</v>
      </c>
      <c r="C384" s="178">
        <v>-1958.32</v>
      </c>
      <c r="D384" s="178">
        <v>-791259.01</v>
      </c>
      <c r="E384" s="178">
        <v>-793217.33</v>
      </c>
      <c r="F384">
        <v>-1958.32</v>
      </c>
      <c r="G384" t="s">
        <v>497</v>
      </c>
    </row>
    <row r="385" spans="1:9">
      <c r="A385" s="178">
        <v>270</v>
      </c>
      <c r="B385" s="178" t="s">
        <v>269</v>
      </c>
      <c r="C385" s="178">
        <v>-25906.08</v>
      </c>
      <c r="D385" s="178">
        <v>-1858379.94</v>
      </c>
      <c r="E385" s="178">
        <v>-1884286.02</v>
      </c>
      <c r="F385">
        <v>-25906.08</v>
      </c>
      <c r="G385" t="s">
        <v>497</v>
      </c>
    </row>
    <row r="386" spans="1:9">
      <c r="A386" s="178">
        <v>300</v>
      </c>
      <c r="B386" s="178" t="s">
        <v>270</v>
      </c>
      <c r="C386" s="178">
        <v>0</v>
      </c>
      <c r="D386" s="178">
        <v>0</v>
      </c>
      <c r="E386" s="178">
        <v>0</v>
      </c>
      <c r="F386">
        <v>0</v>
      </c>
      <c r="G386" t="s">
        <v>497</v>
      </c>
    </row>
    <row r="387" spans="1:9">
      <c r="A387" s="178">
        <v>310</v>
      </c>
      <c r="B387" s="178" t="s">
        <v>631</v>
      </c>
      <c r="C387" s="178">
        <v>0</v>
      </c>
      <c r="D387" s="178">
        <v>13186.42</v>
      </c>
      <c r="E387" s="178">
        <v>13186.42</v>
      </c>
      <c r="F387">
        <v>0</v>
      </c>
      <c r="G387" t="s">
        <v>497</v>
      </c>
    </row>
    <row r="388" spans="1:9">
      <c r="A388" s="178">
        <v>320</v>
      </c>
      <c r="B388" s="178" t="s">
        <v>271</v>
      </c>
      <c r="C388" s="178">
        <v>40533.78</v>
      </c>
      <c r="D388" s="178">
        <v>4709200.46</v>
      </c>
      <c r="E388" s="178">
        <v>4749734.24</v>
      </c>
      <c r="F388">
        <v>40533.78</v>
      </c>
      <c r="G388" t="s">
        <v>497</v>
      </c>
    </row>
    <row r="389" spans="1:9">
      <c r="A389" s="178">
        <v>325</v>
      </c>
      <c r="B389" s="178" t="s">
        <v>272</v>
      </c>
      <c r="C389" s="178">
        <v>0</v>
      </c>
      <c r="D389" s="178">
        <v>0</v>
      </c>
      <c r="E389" s="178">
        <v>0</v>
      </c>
      <c r="F389">
        <v>0</v>
      </c>
      <c r="G389" t="s">
        <v>497</v>
      </c>
    </row>
    <row r="390" spans="1:9">
      <c r="A390" s="178">
        <v>330</v>
      </c>
      <c r="B390" s="178" t="s">
        <v>632</v>
      </c>
      <c r="C390" s="178">
        <v>411.13</v>
      </c>
      <c r="D390" s="178">
        <v>1079423.14</v>
      </c>
      <c r="E390" s="178">
        <v>1079834.27</v>
      </c>
      <c r="F390">
        <v>411.13</v>
      </c>
      <c r="G390" t="s">
        <v>497</v>
      </c>
    </row>
    <row r="391" spans="1:9">
      <c r="A391" s="178">
        <v>340</v>
      </c>
      <c r="B391" s="178" t="s">
        <v>633</v>
      </c>
      <c r="C391" s="178">
        <v>15912.59</v>
      </c>
      <c r="D391" s="178">
        <v>789689.65</v>
      </c>
      <c r="E391" s="178">
        <v>805602.24</v>
      </c>
      <c r="F391">
        <v>15912.59</v>
      </c>
      <c r="G391" t="s">
        <v>497</v>
      </c>
    </row>
    <row r="392" spans="1:9">
      <c r="A392" s="178">
        <v>380</v>
      </c>
      <c r="B392" s="178" t="s">
        <v>634</v>
      </c>
      <c r="C392" s="178">
        <v>-9529.22</v>
      </c>
      <c r="D392" s="178">
        <v>1397037.46</v>
      </c>
      <c r="E392" s="178">
        <v>1387508.24</v>
      </c>
      <c r="F392">
        <v>-9529.22</v>
      </c>
      <c r="G392" t="s">
        <v>497</v>
      </c>
    </row>
    <row r="393" spans="1:9">
      <c r="A393" s="178">
        <v>390</v>
      </c>
      <c r="B393" s="178" t="s">
        <v>273</v>
      </c>
      <c r="C393" s="178">
        <v>0</v>
      </c>
      <c r="D393" s="178">
        <v>0</v>
      </c>
      <c r="E393" s="178">
        <v>0</v>
      </c>
      <c r="F393">
        <v>0</v>
      </c>
      <c r="G393" t="s">
        <v>497</v>
      </c>
    </row>
    <row r="394" spans="1:9">
      <c r="A394" s="178">
        <v>400</v>
      </c>
      <c r="B394" s="178" t="s">
        <v>274</v>
      </c>
      <c r="C394" s="178">
        <v>0</v>
      </c>
      <c r="D394" s="178">
        <v>0</v>
      </c>
      <c r="E394" s="178">
        <v>0</v>
      </c>
      <c r="F394">
        <v>0</v>
      </c>
      <c r="G394" t="s">
        <v>497</v>
      </c>
    </row>
    <row r="395" spans="1:9">
      <c r="A395" s="178">
        <v>405</v>
      </c>
      <c r="B395" s="178" t="s">
        <v>275</v>
      </c>
      <c r="C395" s="178">
        <v>0</v>
      </c>
      <c r="D395" s="178">
        <v>0</v>
      </c>
      <c r="E395" s="178">
        <v>0</v>
      </c>
      <c r="F395">
        <v>0</v>
      </c>
      <c r="G395" t="s">
        <v>497</v>
      </c>
    </row>
    <row r="396" spans="1:9">
      <c r="A396" s="178">
        <v>410</v>
      </c>
      <c r="B396" s="178" t="s">
        <v>276</v>
      </c>
      <c r="C396" s="178">
        <v>0</v>
      </c>
      <c r="D396" s="178">
        <v>13466589.05</v>
      </c>
      <c r="E396" s="178">
        <v>13466589.05</v>
      </c>
      <c r="F396">
        <v>0</v>
      </c>
      <c r="G396" t="s">
        <v>497</v>
      </c>
    </row>
    <row r="397" spans="1:9">
      <c r="A397" s="178">
        <v>420</v>
      </c>
      <c r="B397" s="178" t="s">
        <v>277</v>
      </c>
      <c r="C397" s="178">
        <v>0</v>
      </c>
      <c r="D397" s="178">
        <v>5649693.64</v>
      </c>
      <c r="E397" s="178">
        <v>5649693.64</v>
      </c>
      <c r="F397">
        <v>0</v>
      </c>
      <c r="G397" t="s">
        <v>497</v>
      </c>
    </row>
    <row r="398" spans="1:9">
      <c r="A398" s="178">
        <v>425</v>
      </c>
      <c r="B398" s="178" t="s">
        <v>635</v>
      </c>
      <c r="C398" s="178">
        <v>0</v>
      </c>
      <c r="D398" s="178">
        <v>55554</v>
      </c>
      <c r="E398" s="178">
        <v>55554</v>
      </c>
      <c r="F398">
        <v>0</v>
      </c>
      <c r="G398" t="s">
        <v>497</v>
      </c>
    </row>
    <row r="399" spans="1:9">
      <c r="A399" s="178">
        <v>427</v>
      </c>
      <c r="B399" s="178" t="s">
        <v>636</v>
      </c>
      <c r="C399" s="178">
        <v>0</v>
      </c>
      <c r="D399" s="178">
        <v>0</v>
      </c>
      <c r="E399" s="178">
        <v>0</v>
      </c>
      <c r="F399">
        <v>0</v>
      </c>
      <c r="G399" t="s">
        <v>497</v>
      </c>
    </row>
    <row r="400" spans="1:9">
      <c r="A400" s="178">
        <v>430</v>
      </c>
      <c r="B400" s="178" t="s">
        <v>279</v>
      </c>
      <c r="C400" s="178">
        <v>0</v>
      </c>
      <c r="D400" s="178">
        <v>52026247.92</v>
      </c>
      <c r="E400" s="178">
        <v>52026247.92</v>
      </c>
      <c r="F400">
        <v>0</v>
      </c>
      <c r="G400" t="s">
        <v>497</v>
      </c>
    </row>
    <row r="401" spans="1:9">
      <c r="A401" s="178">
        <v>440</v>
      </c>
      <c r="B401" s="178" t="s">
        <v>280</v>
      </c>
      <c r="C401" s="178">
        <v>0</v>
      </c>
      <c r="D401" s="178">
        <v>71198084.61</v>
      </c>
      <c r="E401" s="178">
        <v>71198084.61</v>
      </c>
      <c r="F401">
        <v>0</v>
      </c>
      <c r="G401" t="s">
        <v>497</v>
      </c>
    </row>
    <row r="402" spans="1:9">
      <c r="A402" s="178">
        <v>450</v>
      </c>
      <c r="B402" s="178" t="s">
        <v>281</v>
      </c>
      <c r="C402" s="178">
        <v>0</v>
      </c>
      <c r="D402" s="178">
        <v>0</v>
      </c>
      <c r="E402" s="178">
        <v>0</v>
      </c>
      <c r="F402">
        <v>0</v>
      </c>
      <c r="G402" t="s">
        <v>497</v>
      </c>
    </row>
    <row r="403" spans="1:9">
      <c r="A403" s="178">
        <v>455</v>
      </c>
      <c r="B403" s="178" t="s">
        <v>282</v>
      </c>
      <c r="C403" s="178">
        <v>0</v>
      </c>
      <c r="D403" s="178">
        <v>-54881446.18</v>
      </c>
      <c r="E403" s="178">
        <v>-54881446.18</v>
      </c>
      <c r="F403">
        <v>0</v>
      </c>
      <c r="G403" t="s">
        <v>497</v>
      </c>
    </row>
    <row r="404" spans="1:9">
      <c r="A404" s="178">
        <v>456</v>
      </c>
      <c r="B404" s="178" t="s">
        <v>637</v>
      </c>
      <c r="C404" s="178">
        <v>46872.08</v>
      </c>
      <c r="D404" s="178">
        <v>12409829.05</v>
      </c>
      <c r="E404" s="178">
        <v>12456701.13</v>
      </c>
      <c r="F404">
        <v>46872.08</v>
      </c>
      <c r="G404" t="s">
        <v>497</v>
      </c>
    </row>
    <row r="405" spans="1:9">
      <c r="A405" s="178">
        <v>460</v>
      </c>
      <c r="B405" s="178" t="s">
        <v>283</v>
      </c>
      <c r="C405" s="178">
        <v>0</v>
      </c>
      <c r="D405" s="178">
        <v>0</v>
      </c>
      <c r="E405" s="178">
        <v>0</v>
      </c>
      <c r="F405">
        <v>0</v>
      </c>
      <c r="G405" t="s">
        <v>497</v>
      </c>
    </row>
    <row r="406" spans="1:9">
      <c r="A406" s="178">
        <v>470</v>
      </c>
      <c r="B406" s="178" t="s">
        <v>638</v>
      </c>
      <c r="C406" s="178">
        <v>0</v>
      </c>
      <c r="D406" s="178">
        <v>0</v>
      </c>
      <c r="E406" s="178">
        <v>0</v>
      </c>
      <c r="F406">
        <v>0</v>
      </c>
      <c r="G406" t="s">
        <v>497</v>
      </c>
    </row>
    <row r="407" spans="1:9">
      <c r="A407" s="178">
        <v>480</v>
      </c>
      <c r="B407" s="178" t="s">
        <v>284</v>
      </c>
      <c r="C407" s="178">
        <v>0</v>
      </c>
      <c r="D407" s="178">
        <v>0</v>
      </c>
      <c r="E407" s="178">
        <v>0</v>
      </c>
      <c r="F407">
        <v>0</v>
      </c>
      <c r="G407" t="s">
        <v>497</v>
      </c>
    </row>
    <row r="408" spans="1:9">
      <c r="A408" s="178">
        <v>490</v>
      </c>
      <c r="B408" s="178" t="s">
        <v>639</v>
      </c>
      <c r="C408" s="178">
        <v>0</v>
      </c>
      <c r="D408" s="178">
        <v>0</v>
      </c>
      <c r="E408" s="178">
        <v>0</v>
      </c>
      <c r="F408">
        <v>0</v>
      </c>
      <c r="G408" t="s">
        <v>497</v>
      </c>
    </row>
    <row r="409" spans="1:9">
      <c r="A409" s="178">
        <v>500</v>
      </c>
      <c r="B409" s="178" t="s">
        <v>285</v>
      </c>
      <c r="C409" s="178">
        <v>0</v>
      </c>
      <c r="D409" s="178">
        <v>0</v>
      </c>
      <c r="E409" s="178">
        <v>0</v>
      </c>
      <c r="F409">
        <v>0</v>
      </c>
      <c r="G409" t="s">
        <v>497</v>
      </c>
    </row>
    <row r="410" spans="1:9">
      <c r="A410" s="178">
        <v>510</v>
      </c>
      <c r="B410" s="178" t="s">
        <v>640</v>
      </c>
      <c r="C410" s="178">
        <v>0</v>
      </c>
      <c r="D410" s="178">
        <v>0</v>
      </c>
      <c r="E410" s="178">
        <v>0</v>
      </c>
      <c r="F410">
        <v>0</v>
      </c>
      <c r="G410" t="s">
        <v>497</v>
      </c>
    </row>
    <row r="411" spans="1:9">
      <c r="A411" s="178">
        <v>512</v>
      </c>
      <c r="B411" s="178" t="s">
        <v>286</v>
      </c>
      <c r="C411" s="178">
        <v>0</v>
      </c>
      <c r="D411" s="178">
        <v>0</v>
      </c>
      <c r="E411" s="178">
        <v>0</v>
      </c>
      <c r="F411">
        <v>0</v>
      </c>
      <c r="G411" t="s">
        <v>497</v>
      </c>
    </row>
    <row r="412" spans="1:9">
      <c r="A412" s="178">
        <v>514</v>
      </c>
      <c r="B412" s="178" t="s">
        <v>641</v>
      </c>
      <c r="C412" s="178">
        <v>0</v>
      </c>
      <c r="D412" s="178">
        <v>0</v>
      </c>
      <c r="E412" s="178">
        <v>0</v>
      </c>
      <c r="F412">
        <v>0</v>
      </c>
      <c r="G412" t="s">
        <v>497</v>
      </c>
    </row>
    <row r="413" spans="1:9">
      <c r="A413" s="178">
        <v>520</v>
      </c>
      <c r="B413" s="178" t="s">
        <v>642</v>
      </c>
      <c r="C413" s="178">
        <v>0</v>
      </c>
      <c r="D413" s="178">
        <v>0</v>
      </c>
      <c r="E413" s="178">
        <v>0</v>
      </c>
      <c r="F413">
        <v>0</v>
      </c>
      <c r="G413" t="s">
        <v>497</v>
      </c>
    </row>
    <row r="414" spans="1:9">
      <c r="A414" s="178">
        <v>530</v>
      </c>
      <c r="B414" s="178" t="s">
        <v>643</v>
      </c>
      <c r="C414" s="178">
        <v>0</v>
      </c>
      <c r="D414" s="178">
        <v>0</v>
      </c>
      <c r="E414" s="178">
        <v>0</v>
      </c>
      <c r="F414">
        <v>0</v>
      </c>
      <c r="G414" t="s">
        <v>497</v>
      </c>
    </row>
    <row r="415" spans="1:9">
      <c r="A415" s="178">
        <v>540</v>
      </c>
      <c r="B415" s="178" t="s">
        <v>644</v>
      </c>
      <c r="C415" s="178">
        <v>0</v>
      </c>
      <c r="D415" s="178">
        <v>0</v>
      </c>
      <c r="E415" s="178">
        <v>0</v>
      </c>
      <c r="F415">
        <v>0</v>
      </c>
      <c r="G415" t="s">
        <v>497</v>
      </c>
    </row>
    <row r="416" spans="1:9">
      <c r="A416" s="178">
        <v>550</v>
      </c>
      <c r="B416" s="178" t="s">
        <v>645</v>
      </c>
      <c r="C416" s="178">
        <v>0</v>
      </c>
      <c r="D416" s="178">
        <v>0</v>
      </c>
      <c r="E416" s="178">
        <v>0</v>
      </c>
      <c r="F416">
        <v>0</v>
      </c>
      <c r="G416" t="s">
        <v>497</v>
      </c>
    </row>
    <row r="417" spans="1:9">
      <c r="A417" s="178">
        <v>560</v>
      </c>
      <c r="B417" s="178" t="s">
        <v>646</v>
      </c>
      <c r="C417" s="178">
        <v>0</v>
      </c>
      <c r="D417" s="178">
        <v>0</v>
      </c>
      <c r="E417" s="178">
        <v>0</v>
      </c>
      <c r="F417">
        <v>0</v>
      </c>
      <c r="G417" t="s">
        <v>497</v>
      </c>
    </row>
    <row r="418" spans="1:9">
      <c r="A418" s="178">
        <v>570</v>
      </c>
      <c r="B418" s="178" t="s">
        <v>647</v>
      </c>
      <c r="C418" s="178">
        <v>0</v>
      </c>
      <c r="D418" s="178">
        <v>0</v>
      </c>
      <c r="E418" s="178">
        <v>0</v>
      </c>
      <c r="F418">
        <v>0</v>
      </c>
      <c r="G418" t="s">
        <v>497</v>
      </c>
    </row>
    <row r="419" spans="1:9">
      <c r="A419" s="178">
        <v>580</v>
      </c>
      <c r="B419" s="178" t="s">
        <v>290</v>
      </c>
      <c r="C419" s="178">
        <v>0</v>
      </c>
      <c r="D419" s="178">
        <v>0</v>
      </c>
      <c r="E419" s="178">
        <v>0</v>
      </c>
      <c r="F419">
        <v>0</v>
      </c>
      <c r="G419" t="s">
        <v>497</v>
      </c>
    </row>
    <row r="420" spans="1:9">
      <c r="A420" s="178">
        <v>590</v>
      </c>
      <c r="B420" s="178" t="s">
        <v>648</v>
      </c>
      <c r="C420" s="178">
        <v>0</v>
      </c>
      <c r="D420" s="178">
        <v>0</v>
      </c>
      <c r="E420" s="178">
        <v>0</v>
      </c>
      <c r="F420">
        <v>0</v>
      </c>
      <c r="G420" t="s">
        <v>497</v>
      </c>
    </row>
    <row r="421" spans="1:9">
      <c r="A421" s="178">
        <v>600</v>
      </c>
      <c r="B421" s="178" t="s">
        <v>291</v>
      </c>
      <c r="C421" s="178">
        <v>0</v>
      </c>
      <c r="D421" s="178">
        <v>0</v>
      </c>
      <c r="E421" s="178">
        <v>0</v>
      </c>
      <c r="F421">
        <v>0</v>
      </c>
      <c r="G421" t="s">
        <v>497</v>
      </c>
    </row>
    <row r="422" spans="1:9">
      <c r="A422" s="178">
        <v>610</v>
      </c>
      <c r="B422" s="178" t="s">
        <v>649</v>
      </c>
      <c r="C422" s="178">
        <v>0</v>
      </c>
      <c r="D422" s="178">
        <v>0</v>
      </c>
      <c r="E422" s="178">
        <v>0</v>
      </c>
      <c r="F422">
        <v>0</v>
      </c>
      <c r="G422" t="s">
        <v>497</v>
      </c>
    </row>
    <row r="423" spans="1:9">
      <c r="A423" s="178">
        <v>620</v>
      </c>
      <c r="B423" s="178" t="s">
        <v>292</v>
      </c>
      <c r="C423" s="178">
        <v>0</v>
      </c>
      <c r="D423" s="178">
        <v>0</v>
      </c>
      <c r="E423" s="178">
        <v>0</v>
      </c>
      <c r="F423">
        <v>0</v>
      </c>
      <c r="G423" t="s">
        <v>497</v>
      </c>
    </row>
    <row r="424" spans="1:9">
      <c r="A424" s="178">
        <v>630</v>
      </c>
      <c r="B424" s="178" t="s">
        <v>293</v>
      </c>
      <c r="C424" s="178">
        <v>0</v>
      </c>
      <c r="D424" s="178">
        <v>0</v>
      </c>
      <c r="E424" s="178">
        <v>0</v>
      </c>
      <c r="F424">
        <v>0</v>
      </c>
      <c r="G424" t="s">
        <v>497</v>
      </c>
    </row>
    <row r="425" spans="1:9">
      <c r="A425" s="178">
        <v>640</v>
      </c>
      <c r="B425" s="178" t="s">
        <v>294</v>
      </c>
      <c r="C425" s="178">
        <v>46872.08</v>
      </c>
      <c r="D425" s="178">
        <v>-42471617.13</v>
      </c>
      <c r="E425" s="178">
        <v>-42424745.05</v>
      </c>
      <c r="F425">
        <v>46872.08</v>
      </c>
      <c r="G425" t="s">
        <v>497</v>
      </c>
    </row>
    <row r="426" spans="1:9">
      <c r="A426" s="178">
        <v>650</v>
      </c>
      <c r="B426" s="178" t="s">
        <v>295</v>
      </c>
      <c r="C426" s="178">
        <v>54116.15</v>
      </c>
      <c r="D426" s="178">
        <v>30123504.94</v>
      </c>
      <c r="E426" s="178">
        <v>30177621.09</v>
      </c>
      <c r="F426">
        <v>54116.15</v>
      </c>
      <c r="G426" t="s">
        <v>497</v>
      </c>
    </row>
    <row r="427" spans="1:9">
      <c r="A427" s="178" t="s">
        <v>438</v>
      </c>
      <c r="B427" s="178" t="s">
        <v>402</v>
      </c>
      <c r="C427" s="178" t="s">
        <v>651</v>
      </c>
      <c r="D427" s="178" t="s">
        <v>652</v>
      </c>
      <c r="E427" s="178" t="s">
        <v>653</v>
      </c>
      <c r="F427" t="s">
        <v>654</v>
      </c>
      <c r="G427" t="s">
        <v>405</v>
      </c>
    </row>
    <row r="428" spans="1:9">
      <c r="A428" s="178">
        <v>30</v>
      </c>
      <c r="B428" s="178" t="s">
        <v>406</v>
      </c>
      <c r="C428" s="178">
        <v>0</v>
      </c>
      <c r="D428" s="178">
        <v>0</v>
      </c>
      <c r="E428" s="178">
        <v>0</v>
      </c>
      <c r="F428">
        <v>0</v>
      </c>
      <c r="G428" t="s">
        <v>497</v>
      </c>
    </row>
    <row r="429" spans="1:9">
      <c r="A429" s="178">
        <v>40</v>
      </c>
      <c r="B429" s="178" t="s">
        <v>655</v>
      </c>
      <c r="C429" s="178">
        <v>0</v>
      </c>
      <c r="D429" s="178">
        <v>0</v>
      </c>
      <c r="E429" s="178">
        <v>0</v>
      </c>
      <c r="F429">
        <v>0</v>
      </c>
      <c r="G429" t="s">
        <v>497</v>
      </c>
    </row>
    <row r="430" spans="1:9">
      <c r="A430" s="178">
        <v>50</v>
      </c>
      <c r="B430" s="178" t="s">
        <v>409</v>
      </c>
      <c r="C430" s="178">
        <v>0</v>
      </c>
      <c r="D430" s="178">
        <v>0</v>
      </c>
      <c r="E430" s="178">
        <v>0</v>
      </c>
      <c r="F430">
        <v>0</v>
      </c>
      <c r="G430" t="s">
        <v>497</v>
      </c>
    </row>
    <row r="431" spans="1:9">
      <c r="A431" s="178">
        <v>60</v>
      </c>
      <c r="B431" s="178" t="s">
        <v>656</v>
      </c>
      <c r="C431" s="178">
        <v>0</v>
      </c>
      <c r="D431" s="178">
        <v>0</v>
      </c>
      <c r="E431" s="178">
        <v>0</v>
      </c>
      <c r="F431">
        <v>0</v>
      </c>
      <c r="G431" t="s">
        <v>497</v>
      </c>
    </row>
    <row r="432" spans="1:9">
      <c r="A432" s="178">
        <v>70</v>
      </c>
      <c r="B432" s="178" t="s">
        <v>618</v>
      </c>
      <c r="C432" s="178">
        <v>0</v>
      </c>
      <c r="D432" s="178">
        <v>0</v>
      </c>
      <c r="E432" s="178">
        <v>0</v>
      </c>
      <c r="F432">
        <v>0</v>
      </c>
      <c r="G432" t="s">
        <v>497</v>
      </c>
    </row>
    <row r="433" spans="1:9">
      <c r="A433" s="178">
        <v>80</v>
      </c>
      <c r="B433" s="178" t="s">
        <v>412</v>
      </c>
      <c r="C433" s="178">
        <v>675</v>
      </c>
      <c r="D433" s="178">
        <v>0</v>
      </c>
      <c r="E433" s="178">
        <v>675</v>
      </c>
      <c r="F433">
        <v>675</v>
      </c>
      <c r="G433" t="s">
        <v>497</v>
      </c>
    </row>
    <row r="434" spans="1:9">
      <c r="A434" s="178">
        <v>90</v>
      </c>
      <c r="B434" s="178" t="s">
        <v>413</v>
      </c>
      <c r="C434" s="178">
        <v>20104.1</v>
      </c>
      <c r="D434" s="178">
        <v>0</v>
      </c>
      <c r="E434" s="178">
        <v>20104.1</v>
      </c>
      <c r="F434">
        <v>20104.1</v>
      </c>
      <c r="G434" t="s">
        <v>497</v>
      </c>
    </row>
    <row r="435" spans="1:9">
      <c r="A435" s="178">
        <v>100</v>
      </c>
      <c r="B435" s="178" t="s">
        <v>414</v>
      </c>
      <c r="C435" s="178">
        <v>0</v>
      </c>
      <c r="D435" s="178">
        <v>0</v>
      </c>
      <c r="E435" s="178">
        <v>0</v>
      </c>
      <c r="F435">
        <v>0</v>
      </c>
      <c r="G435" t="s">
        <v>497</v>
      </c>
    </row>
    <row r="436" spans="1:9">
      <c r="A436" s="178">
        <v>120</v>
      </c>
      <c r="B436" s="178" t="s">
        <v>416</v>
      </c>
      <c r="C436" s="178">
        <v>-20779.1</v>
      </c>
      <c r="D436" s="178">
        <v>0</v>
      </c>
      <c r="E436" s="178">
        <v>-20779.1</v>
      </c>
      <c r="F436">
        <v>-20779.1</v>
      </c>
      <c r="G436" t="s">
        <v>497</v>
      </c>
    </row>
    <row r="437" spans="1:9">
      <c r="A437" s="178">
        <v>130</v>
      </c>
      <c r="B437" s="178" t="s">
        <v>621</v>
      </c>
      <c r="C437" s="178">
        <v>0</v>
      </c>
      <c r="D437" s="178">
        <v>0</v>
      </c>
      <c r="E437" s="178">
        <v>0</v>
      </c>
      <c r="F437">
        <v>0</v>
      </c>
      <c r="G437" t="s">
        <v>497</v>
      </c>
    </row>
    <row r="438" spans="1:9">
      <c r="A438" s="178">
        <v>135</v>
      </c>
      <c r="B438" s="178" t="s">
        <v>657</v>
      </c>
      <c r="C438" s="178">
        <v>0</v>
      </c>
      <c r="D438" s="178">
        <v>0</v>
      </c>
      <c r="E438" s="178">
        <v>0</v>
      </c>
      <c r="F438">
        <v>0</v>
      </c>
      <c r="G438" t="s">
        <v>497</v>
      </c>
    </row>
    <row r="439" spans="1:9">
      <c r="A439" s="178">
        <v>140</v>
      </c>
      <c r="B439" s="178" t="s">
        <v>419</v>
      </c>
      <c r="C439" s="178">
        <v>0</v>
      </c>
      <c r="D439" s="178">
        <v>0</v>
      </c>
      <c r="E439" s="178">
        <v>0</v>
      </c>
      <c r="F439">
        <v>0</v>
      </c>
      <c r="G439" t="s">
        <v>497</v>
      </c>
    </row>
    <row r="440" spans="1:9">
      <c r="A440" s="178">
        <v>150</v>
      </c>
      <c r="B440" s="178" t="s">
        <v>420</v>
      </c>
      <c r="C440" s="178">
        <v>0</v>
      </c>
      <c r="D440" s="178">
        <v>0</v>
      </c>
      <c r="E440" s="178">
        <v>0</v>
      </c>
      <c r="F440">
        <v>0</v>
      </c>
      <c r="G440" t="s">
        <v>497</v>
      </c>
    </row>
    <row r="441" spans="1:9">
      <c r="A441" s="178">
        <v>160</v>
      </c>
      <c r="B441" s="178" t="s">
        <v>422</v>
      </c>
      <c r="C441" s="178">
        <v>0</v>
      </c>
      <c r="D441" s="178">
        <v>0</v>
      </c>
      <c r="E441" s="178">
        <v>0</v>
      </c>
      <c r="F441">
        <v>0</v>
      </c>
      <c r="G441" t="s">
        <v>497</v>
      </c>
    </row>
    <row r="442" spans="1:9">
      <c r="A442" s="178">
        <v>170</v>
      </c>
      <c r="B442" s="178" t="s">
        <v>423</v>
      </c>
      <c r="C442" s="178">
        <v>-20779.1</v>
      </c>
      <c r="D442" s="178">
        <v>0</v>
      </c>
      <c r="E442" s="178">
        <v>-20779.1</v>
      </c>
      <c r="F442">
        <v>-20779.1</v>
      </c>
      <c r="G442" t="s">
        <v>497</v>
      </c>
    </row>
    <row r="443" spans="1:9">
      <c r="A443" s="178">
        <v>180</v>
      </c>
      <c r="B443" s="178" t="s">
        <v>626</v>
      </c>
      <c r="C443" s="178">
        <v>0</v>
      </c>
      <c r="D443" s="178">
        <v>0</v>
      </c>
      <c r="E443" s="178">
        <v>0</v>
      </c>
      <c r="F443">
        <v>0</v>
      </c>
      <c r="G443" t="s">
        <v>497</v>
      </c>
    </row>
    <row r="444" spans="1:9">
      <c r="A444" s="178">
        <v>200</v>
      </c>
      <c r="B444" s="178" t="s">
        <v>426</v>
      </c>
      <c r="C444" s="178">
        <v>-20779.1</v>
      </c>
      <c r="D444" s="178">
        <v>0</v>
      </c>
      <c r="E444" s="178">
        <v>-20779.1</v>
      </c>
      <c r="F444">
        <v>-20779.1</v>
      </c>
      <c r="G444" t="s">
        <v>497</v>
      </c>
    </row>
    <row r="445" spans="1:9">
      <c r="A445" s="178">
        <v>220</v>
      </c>
      <c r="B445" s="178" t="s">
        <v>628</v>
      </c>
      <c r="C445" s="178">
        <v>0</v>
      </c>
      <c r="D445" s="178">
        <v>0</v>
      </c>
      <c r="E445" s="178">
        <v>0</v>
      </c>
      <c r="F445">
        <v>0</v>
      </c>
      <c r="G445" t="s">
        <v>497</v>
      </c>
    </row>
    <row r="446" spans="1:9">
      <c r="A446" s="178">
        <v>230</v>
      </c>
      <c r="B446" s="178" t="s">
        <v>266</v>
      </c>
      <c r="C446" s="178">
        <v>0</v>
      </c>
      <c r="D446" s="178">
        <v>0</v>
      </c>
      <c r="E446" s="178">
        <v>0</v>
      </c>
      <c r="F446">
        <v>0</v>
      </c>
      <c r="G446" t="s">
        <v>497</v>
      </c>
    </row>
    <row r="447" spans="1:9">
      <c r="A447" s="178">
        <v>235</v>
      </c>
      <c r="B447" s="178" t="s">
        <v>629</v>
      </c>
      <c r="C447" s="178">
        <v>0</v>
      </c>
      <c r="D447" s="178">
        <v>0</v>
      </c>
      <c r="E447" s="178">
        <v>0</v>
      </c>
      <c r="F447">
        <v>0</v>
      </c>
      <c r="G447" t="s">
        <v>497</v>
      </c>
    </row>
    <row r="448" spans="1:9">
      <c r="A448" s="178">
        <v>237</v>
      </c>
      <c r="B448" s="178" t="s">
        <v>658</v>
      </c>
      <c r="C448" s="178">
        <v>0</v>
      </c>
      <c r="D448" s="178">
        <v>0</v>
      </c>
      <c r="E448" s="178">
        <v>0</v>
      </c>
      <c r="F448">
        <v>0</v>
      </c>
      <c r="G448" t="s">
        <v>497</v>
      </c>
    </row>
    <row r="449" spans="1:9">
      <c r="A449" s="178">
        <v>240</v>
      </c>
      <c r="B449" s="178" t="s">
        <v>659</v>
      </c>
      <c r="C449" s="178">
        <v>0</v>
      </c>
      <c r="D449" s="178">
        <v>0</v>
      </c>
      <c r="E449" s="178">
        <v>0</v>
      </c>
      <c r="F449">
        <v>0</v>
      </c>
      <c r="G449" t="s">
        <v>497</v>
      </c>
    </row>
    <row r="450" spans="1:9">
      <c r="A450" s="178">
        <v>250</v>
      </c>
      <c r="B450" s="178" t="s">
        <v>268</v>
      </c>
      <c r="C450" s="178">
        <v>0</v>
      </c>
      <c r="D450" s="178">
        <v>0</v>
      </c>
      <c r="E450" s="178">
        <v>0</v>
      </c>
      <c r="F450">
        <v>0</v>
      </c>
      <c r="G450" t="s">
        <v>497</v>
      </c>
    </row>
    <row r="451" spans="1:9">
      <c r="A451" s="178">
        <v>260</v>
      </c>
      <c r="B451" s="178" t="s">
        <v>630</v>
      </c>
      <c r="C451" s="178">
        <v>-3324.6</v>
      </c>
      <c r="D451" s="178">
        <v>0</v>
      </c>
      <c r="E451" s="178">
        <v>-3324.6</v>
      </c>
      <c r="F451">
        <v>-3324.6</v>
      </c>
      <c r="G451" t="s">
        <v>497</v>
      </c>
    </row>
    <row r="452" spans="1:9">
      <c r="A452" s="178">
        <v>270</v>
      </c>
      <c r="B452" s="178" t="s">
        <v>269</v>
      </c>
      <c r="C452" s="178">
        <v>0</v>
      </c>
      <c r="D452" s="178">
        <v>-904572.29</v>
      </c>
      <c r="E452" s="178">
        <v>-904572.29</v>
      </c>
      <c r="F452">
        <v>0</v>
      </c>
      <c r="G452" t="s">
        <v>497</v>
      </c>
    </row>
    <row r="453" spans="1:9">
      <c r="A453" s="178">
        <v>300</v>
      </c>
      <c r="B453" s="178" t="s">
        <v>270</v>
      </c>
      <c r="C453" s="178">
        <v>0</v>
      </c>
      <c r="D453" s="178">
        <v>0</v>
      </c>
      <c r="E453" s="178">
        <v>0</v>
      </c>
      <c r="F453">
        <v>0</v>
      </c>
      <c r="G453" t="s">
        <v>497</v>
      </c>
    </row>
    <row r="454" spans="1:9">
      <c r="A454" s="178">
        <v>310</v>
      </c>
      <c r="B454" s="178" t="s">
        <v>631</v>
      </c>
      <c r="C454" s="178">
        <v>0</v>
      </c>
      <c r="D454" s="178">
        <v>0</v>
      </c>
      <c r="E454" s="178">
        <v>0</v>
      </c>
      <c r="F454">
        <v>0</v>
      </c>
      <c r="G454" t="s">
        <v>497</v>
      </c>
    </row>
    <row r="455" spans="1:9">
      <c r="A455" s="178">
        <v>320</v>
      </c>
      <c r="B455" s="178" t="s">
        <v>271</v>
      </c>
      <c r="C455" s="178">
        <v>0</v>
      </c>
      <c r="D455" s="178">
        <v>0</v>
      </c>
      <c r="E455" s="178">
        <v>0</v>
      </c>
      <c r="F455">
        <v>0</v>
      </c>
      <c r="G455" t="s">
        <v>497</v>
      </c>
    </row>
    <row r="456" spans="1:9">
      <c r="A456" s="178">
        <v>325</v>
      </c>
      <c r="B456" s="178" t="s">
        <v>272</v>
      </c>
      <c r="C456" s="178">
        <v>0</v>
      </c>
      <c r="D456" s="178">
        <v>0</v>
      </c>
      <c r="E456" s="178">
        <v>0</v>
      </c>
      <c r="F456">
        <v>0</v>
      </c>
      <c r="G456" t="s">
        <v>497</v>
      </c>
    </row>
    <row r="457" spans="1:9">
      <c r="A457" s="178">
        <v>330</v>
      </c>
      <c r="B457" s="178" t="s">
        <v>632</v>
      </c>
      <c r="C457" s="178">
        <v>0</v>
      </c>
      <c r="D457" s="178">
        <v>0</v>
      </c>
      <c r="E457" s="178">
        <v>0</v>
      </c>
      <c r="F457">
        <v>0</v>
      </c>
      <c r="G457" t="s">
        <v>497</v>
      </c>
    </row>
    <row r="458" spans="1:9">
      <c r="A458" s="178">
        <v>340</v>
      </c>
      <c r="B458" s="178" t="s">
        <v>633</v>
      </c>
      <c r="C458" s="178">
        <v>35.7</v>
      </c>
      <c r="D458" s="178">
        <v>0</v>
      </c>
      <c r="E458" s="178">
        <v>35.7</v>
      </c>
      <c r="F458">
        <v>35.7</v>
      </c>
      <c r="G458" t="s">
        <v>497</v>
      </c>
    </row>
    <row r="459" spans="1:9">
      <c r="A459" s="178">
        <v>350</v>
      </c>
      <c r="B459" s="178" t="s">
        <v>660</v>
      </c>
      <c r="C459" s="178">
        <v>0</v>
      </c>
      <c r="D459" s="178">
        <v>0</v>
      </c>
      <c r="E459" s="178">
        <v>0</v>
      </c>
      <c r="F459">
        <v>0</v>
      </c>
      <c r="G459" t="s">
        <v>497</v>
      </c>
    </row>
    <row r="460" spans="1:9">
      <c r="A460" s="178">
        <v>380</v>
      </c>
      <c r="B460" s="178" t="s">
        <v>661</v>
      </c>
      <c r="C460" s="178">
        <v>-3288.9</v>
      </c>
      <c r="D460" s="178">
        <v>-904572.29</v>
      </c>
      <c r="E460" s="178">
        <v>-907861.19</v>
      </c>
      <c r="F460">
        <v>-3288.9</v>
      </c>
      <c r="G460" t="s">
        <v>497</v>
      </c>
    </row>
    <row r="461" spans="1:9">
      <c r="A461" s="178">
        <v>390</v>
      </c>
      <c r="B461" s="178" t="s">
        <v>273</v>
      </c>
      <c r="C461" s="178">
        <v>0</v>
      </c>
      <c r="D461" s="178">
        <v>0</v>
      </c>
      <c r="E461" s="178">
        <v>0</v>
      </c>
      <c r="F461">
        <v>0</v>
      </c>
      <c r="G461" t="s">
        <v>497</v>
      </c>
    </row>
    <row r="462" spans="1:9">
      <c r="A462" s="178">
        <v>400</v>
      </c>
      <c r="B462" s="178" t="s">
        <v>274</v>
      </c>
      <c r="C462" s="178">
        <v>0</v>
      </c>
      <c r="D462" s="178">
        <v>0</v>
      </c>
      <c r="E462" s="178">
        <v>0</v>
      </c>
      <c r="F462">
        <v>0</v>
      </c>
      <c r="G462" t="s">
        <v>497</v>
      </c>
    </row>
    <row r="463" spans="1:9">
      <c r="A463" s="178">
        <v>405</v>
      </c>
      <c r="B463" s="178" t="s">
        <v>275</v>
      </c>
      <c r="C463" s="178">
        <v>33000</v>
      </c>
      <c r="D463" s="178">
        <v>-1719663.35</v>
      </c>
      <c r="E463" s="178">
        <v>-1686663.35</v>
      </c>
      <c r="F463">
        <v>33000</v>
      </c>
      <c r="G463" t="s">
        <v>497</v>
      </c>
    </row>
    <row r="464" spans="1:9">
      <c r="A464" s="178">
        <v>410</v>
      </c>
      <c r="B464" s="178" t="s">
        <v>276</v>
      </c>
      <c r="C464" s="178">
        <v>0</v>
      </c>
      <c r="D464" s="178">
        <v>10560000</v>
      </c>
      <c r="E464" s="178">
        <v>10560000</v>
      </c>
      <c r="F464">
        <v>0</v>
      </c>
      <c r="G464" t="s">
        <v>497</v>
      </c>
    </row>
    <row r="465" spans="1:9">
      <c r="A465" s="178">
        <v>420</v>
      </c>
      <c r="B465" s="178" t="s">
        <v>662</v>
      </c>
      <c r="C465" s="178">
        <v>0</v>
      </c>
      <c r="D465" s="178">
        <v>0</v>
      </c>
      <c r="E465" s="178">
        <v>0</v>
      </c>
      <c r="F465">
        <v>0</v>
      </c>
      <c r="G465" t="s">
        <v>497</v>
      </c>
    </row>
    <row r="466" spans="1:9">
      <c r="A466" s="178">
        <v>425</v>
      </c>
      <c r="B466" s="178" t="s">
        <v>635</v>
      </c>
      <c r="C466" s="178">
        <v>0</v>
      </c>
      <c r="D466" s="178">
        <v>36757.64</v>
      </c>
      <c r="E466" s="178">
        <v>36757.64</v>
      </c>
      <c r="F466">
        <v>0</v>
      </c>
      <c r="G466" t="s">
        <v>497</v>
      </c>
    </row>
    <row r="467" spans="1:9">
      <c r="A467" s="178">
        <v>427</v>
      </c>
      <c r="B467" s="178" t="s">
        <v>663</v>
      </c>
      <c r="C467" s="178">
        <v>0</v>
      </c>
      <c r="D467" s="178">
        <v>0</v>
      </c>
      <c r="E467" s="178">
        <v>0</v>
      </c>
      <c r="F467">
        <v>0</v>
      </c>
      <c r="G467" t="s">
        <v>497</v>
      </c>
    </row>
    <row r="468" spans="1:9">
      <c r="A468" s="178">
        <v>430</v>
      </c>
      <c r="B468" s="178" t="s">
        <v>279</v>
      </c>
      <c r="C468" s="178">
        <v>0</v>
      </c>
      <c r="D468" s="178">
        <v>-7965386.75</v>
      </c>
      <c r="E468" s="178">
        <v>-7965386.75</v>
      </c>
      <c r="F468">
        <v>0</v>
      </c>
      <c r="G468" t="s">
        <v>497</v>
      </c>
    </row>
    <row r="469" spans="1:9">
      <c r="A469" s="178">
        <v>440</v>
      </c>
      <c r="B469" s="178" t="s">
        <v>280</v>
      </c>
      <c r="C469" s="178">
        <v>33000</v>
      </c>
      <c r="D469" s="178">
        <v>911707.54</v>
      </c>
      <c r="E469" s="178">
        <v>944707.54</v>
      </c>
      <c r="F469">
        <v>33000</v>
      </c>
      <c r="G469" t="s">
        <v>497</v>
      </c>
    </row>
    <row r="470" spans="1:9">
      <c r="A470" s="178">
        <v>450</v>
      </c>
      <c r="B470" s="178" t="s">
        <v>281</v>
      </c>
      <c r="C470" s="178">
        <v>0</v>
      </c>
      <c r="D470" s="178">
        <v>0</v>
      </c>
      <c r="E470" s="178">
        <v>0</v>
      </c>
      <c r="F470">
        <v>0</v>
      </c>
      <c r="G470" t="s">
        <v>497</v>
      </c>
    </row>
    <row r="471" spans="1:9">
      <c r="A471" s="178">
        <v>455</v>
      </c>
      <c r="B471" s="178" t="s">
        <v>664</v>
      </c>
      <c r="C471" s="178">
        <v>0</v>
      </c>
      <c r="D471" s="178">
        <v>-1</v>
      </c>
      <c r="E471" s="178">
        <v>-1</v>
      </c>
      <c r="F471">
        <v>0</v>
      </c>
      <c r="G471" t="s">
        <v>497</v>
      </c>
    </row>
    <row r="472" spans="1:9">
      <c r="A472" s="178">
        <v>456</v>
      </c>
      <c r="B472" s="178" t="s">
        <v>637</v>
      </c>
      <c r="C472" s="178">
        <v>0</v>
      </c>
      <c r="D472" s="178">
        <v>0</v>
      </c>
      <c r="E472" s="178">
        <v>0</v>
      </c>
      <c r="F472">
        <v>0</v>
      </c>
      <c r="G472" t="s">
        <v>497</v>
      </c>
    </row>
    <row r="473" spans="1:9">
      <c r="A473" s="178">
        <v>460</v>
      </c>
      <c r="B473" s="178" t="s">
        <v>283</v>
      </c>
      <c r="C473" s="178">
        <v>0</v>
      </c>
      <c r="D473" s="178">
        <v>-1</v>
      </c>
      <c r="E473" s="178">
        <v>-1</v>
      </c>
      <c r="F473">
        <v>0</v>
      </c>
      <c r="G473" t="s">
        <v>497</v>
      </c>
    </row>
    <row r="474" spans="1:9">
      <c r="A474" s="178">
        <v>470</v>
      </c>
      <c r="B474" s="178" t="s">
        <v>665</v>
      </c>
      <c r="C474" s="178">
        <v>0</v>
      </c>
      <c r="D474" s="178">
        <v>0</v>
      </c>
      <c r="E474" s="178">
        <v>0</v>
      </c>
      <c r="F474">
        <v>0</v>
      </c>
      <c r="G474" t="s">
        <v>497</v>
      </c>
    </row>
    <row r="475" spans="1:9">
      <c r="A475" s="178">
        <v>480</v>
      </c>
      <c r="B475" s="178" t="s">
        <v>284</v>
      </c>
      <c r="C475" s="178">
        <v>0</v>
      </c>
      <c r="D475" s="178">
        <v>0</v>
      </c>
      <c r="E475" s="178">
        <v>0</v>
      </c>
      <c r="F475">
        <v>0</v>
      </c>
      <c r="G475" t="s">
        <v>497</v>
      </c>
    </row>
    <row r="476" spans="1:9">
      <c r="A476" s="178">
        <v>490</v>
      </c>
      <c r="B476" s="178" t="s">
        <v>666</v>
      </c>
      <c r="C476" s="178">
        <v>0</v>
      </c>
      <c r="D476" s="178">
        <v>0</v>
      </c>
      <c r="E476" s="178">
        <v>0</v>
      </c>
      <c r="F476">
        <v>0</v>
      </c>
      <c r="G476" t="s">
        <v>497</v>
      </c>
    </row>
    <row r="477" spans="1:9">
      <c r="A477" s="178">
        <v>500</v>
      </c>
      <c r="B477" s="178" t="s">
        <v>285</v>
      </c>
      <c r="C477" s="178">
        <v>0</v>
      </c>
      <c r="D477" s="178">
        <v>-1</v>
      </c>
      <c r="E477" s="178">
        <v>-1</v>
      </c>
      <c r="F477">
        <v>0</v>
      </c>
      <c r="G477" t="s">
        <v>497</v>
      </c>
    </row>
    <row r="478" spans="1:9">
      <c r="A478" s="178">
        <v>510</v>
      </c>
      <c r="B478" s="178" t="s">
        <v>640</v>
      </c>
      <c r="C478" s="178">
        <v>0</v>
      </c>
      <c r="D478" s="178">
        <v>0</v>
      </c>
      <c r="E478" s="178">
        <v>0</v>
      </c>
      <c r="F478">
        <v>0</v>
      </c>
      <c r="G478" t="s">
        <v>497</v>
      </c>
    </row>
    <row r="479" spans="1:9">
      <c r="A479" s="178">
        <v>512</v>
      </c>
      <c r="B479" s="178" t="s">
        <v>667</v>
      </c>
      <c r="C479" s="178">
        <v>0</v>
      </c>
      <c r="D479" s="178">
        <v>-1</v>
      </c>
      <c r="E479" s="178">
        <v>-1</v>
      </c>
      <c r="F479">
        <v>0</v>
      </c>
      <c r="G479" t="s">
        <v>497</v>
      </c>
    </row>
    <row r="480" spans="1:9">
      <c r="A480" s="178">
        <v>514</v>
      </c>
      <c r="B480" s="178" t="s">
        <v>641</v>
      </c>
      <c r="C480" s="178">
        <v>0</v>
      </c>
      <c r="D480" s="178">
        <v>0</v>
      </c>
      <c r="E480" s="178">
        <v>0</v>
      </c>
      <c r="F480">
        <v>0</v>
      </c>
      <c r="G480" t="s">
        <v>497</v>
      </c>
    </row>
    <row r="481" spans="1:9">
      <c r="A481" s="178">
        <v>520</v>
      </c>
      <c r="B481" s="178" t="s">
        <v>668</v>
      </c>
      <c r="C481" s="178">
        <v>0</v>
      </c>
      <c r="D481" s="178">
        <v>0</v>
      </c>
      <c r="E481" s="178">
        <v>0</v>
      </c>
      <c r="F481">
        <v>0</v>
      </c>
      <c r="G481" t="s">
        <v>497</v>
      </c>
    </row>
    <row r="482" spans="1:9">
      <c r="A482" s="178">
        <v>530</v>
      </c>
      <c r="B482" s="178" t="s">
        <v>643</v>
      </c>
      <c r="C482" s="178">
        <v>0</v>
      </c>
      <c r="D482" s="178">
        <v>0</v>
      </c>
      <c r="E482" s="178">
        <v>0</v>
      </c>
      <c r="F482">
        <v>0</v>
      </c>
      <c r="G482" t="s">
        <v>497</v>
      </c>
    </row>
    <row r="483" spans="1:9">
      <c r="A483" s="178">
        <v>540</v>
      </c>
      <c r="B483" s="178" t="s">
        <v>669</v>
      </c>
      <c r="C483" s="178">
        <v>0</v>
      </c>
      <c r="D483" s="178">
        <v>-1</v>
      </c>
      <c r="E483" s="178">
        <v>-1</v>
      </c>
      <c r="F483">
        <v>0</v>
      </c>
      <c r="G483" t="s">
        <v>497</v>
      </c>
    </row>
    <row r="484" spans="1:9">
      <c r="A484" s="178">
        <v>550</v>
      </c>
      <c r="B484" s="178" t="s">
        <v>670</v>
      </c>
      <c r="C484" s="178">
        <v>0</v>
      </c>
      <c r="D484" s="178">
        <v>0</v>
      </c>
      <c r="E484" s="178">
        <v>0</v>
      </c>
      <c r="F484">
        <v>0</v>
      </c>
      <c r="G484" t="s">
        <v>497</v>
      </c>
    </row>
    <row r="485" spans="1:9">
      <c r="A485" s="178">
        <v>560</v>
      </c>
      <c r="B485" s="178" t="s">
        <v>646</v>
      </c>
      <c r="C485" s="178">
        <v>0</v>
      </c>
      <c r="D485" s="178">
        <v>0</v>
      </c>
      <c r="E485" s="178">
        <v>0</v>
      </c>
      <c r="F485">
        <v>0</v>
      </c>
      <c r="G485" t="s">
        <v>497</v>
      </c>
    </row>
    <row r="486" spans="1:9">
      <c r="A486" s="178">
        <v>570</v>
      </c>
      <c r="B486" s="178" t="s">
        <v>647</v>
      </c>
      <c r="C486" s="178">
        <v>0</v>
      </c>
      <c r="D486" s="178">
        <v>0</v>
      </c>
      <c r="E486" s="178">
        <v>0</v>
      </c>
      <c r="F486">
        <v>0</v>
      </c>
      <c r="G486" t="s">
        <v>497</v>
      </c>
    </row>
    <row r="487" spans="1:9">
      <c r="A487" s="178">
        <v>580</v>
      </c>
      <c r="B487" s="178" t="s">
        <v>290</v>
      </c>
      <c r="C487" s="178">
        <v>0</v>
      </c>
      <c r="D487" s="178">
        <v>0</v>
      </c>
      <c r="E487" s="178">
        <v>0</v>
      </c>
      <c r="F487">
        <v>0</v>
      </c>
      <c r="G487" t="s">
        <v>497</v>
      </c>
    </row>
    <row r="488" spans="1:9">
      <c r="A488" s="178">
        <v>590</v>
      </c>
      <c r="B488" s="178" t="s">
        <v>671</v>
      </c>
      <c r="C488" s="178">
        <v>0</v>
      </c>
      <c r="D488" s="178">
        <v>0</v>
      </c>
      <c r="E488" s="178">
        <v>0</v>
      </c>
      <c r="F488">
        <v>0</v>
      </c>
      <c r="G488" t="s">
        <v>497</v>
      </c>
    </row>
    <row r="489" spans="1:9">
      <c r="A489" s="178">
        <v>600</v>
      </c>
      <c r="B489" s="178" t="s">
        <v>672</v>
      </c>
      <c r="C489" s="178">
        <v>0</v>
      </c>
      <c r="D489" s="178">
        <v>0</v>
      </c>
      <c r="E489" s="178">
        <v>0</v>
      </c>
      <c r="F489">
        <v>0</v>
      </c>
      <c r="G489" t="s">
        <v>497</v>
      </c>
    </row>
    <row r="490" spans="1:9">
      <c r="A490" s="178">
        <v>610</v>
      </c>
      <c r="B490" s="178" t="s">
        <v>673</v>
      </c>
      <c r="C490" s="178">
        <v>0</v>
      </c>
      <c r="D490" s="178">
        <v>0</v>
      </c>
      <c r="E490" s="178">
        <v>0</v>
      </c>
      <c r="F490">
        <v>0</v>
      </c>
      <c r="G490" t="s">
        <v>497</v>
      </c>
    </row>
    <row r="491" spans="1:9">
      <c r="A491" s="178">
        <v>615</v>
      </c>
      <c r="B491" s="178" t="s">
        <v>674</v>
      </c>
      <c r="C491" s="178">
        <v>0</v>
      </c>
      <c r="D491" s="178">
        <v>0</v>
      </c>
      <c r="E491" s="178">
        <v>0</v>
      </c>
      <c r="F491">
        <v>0</v>
      </c>
      <c r="G491" t="s">
        <v>497</v>
      </c>
    </row>
    <row r="492" spans="1:9">
      <c r="A492" s="178">
        <v>620</v>
      </c>
      <c r="B492" s="178" t="s">
        <v>292</v>
      </c>
      <c r="C492" s="178">
        <v>0</v>
      </c>
      <c r="D492" s="178">
        <v>0</v>
      </c>
      <c r="E492" s="178">
        <v>0</v>
      </c>
      <c r="F492">
        <v>0</v>
      </c>
      <c r="G492" t="s">
        <v>497</v>
      </c>
    </row>
    <row r="493" spans="1:9">
      <c r="A493" s="178">
        <v>630</v>
      </c>
      <c r="B493" s="178" t="s">
        <v>293</v>
      </c>
      <c r="C493" s="178">
        <v>0</v>
      </c>
      <c r="D493" s="178">
        <v>0</v>
      </c>
      <c r="E493" s="178">
        <v>0</v>
      </c>
      <c r="F493">
        <v>0</v>
      </c>
      <c r="G493" t="s">
        <v>497</v>
      </c>
    </row>
    <row r="494" spans="1:9">
      <c r="A494" s="178">
        <v>635</v>
      </c>
      <c r="B494" s="178" t="s">
        <v>675</v>
      </c>
      <c r="C494" s="178">
        <v>0</v>
      </c>
      <c r="D494" s="178">
        <v>0</v>
      </c>
      <c r="E494" s="178">
        <v>0</v>
      </c>
      <c r="F494">
        <v>0</v>
      </c>
      <c r="G494" t="s">
        <v>497</v>
      </c>
    </row>
    <row r="495" spans="1:9">
      <c r="A495" s="178">
        <v>640</v>
      </c>
      <c r="B495" s="178" t="s">
        <v>294</v>
      </c>
      <c r="C495" s="178">
        <v>0</v>
      </c>
      <c r="D495" s="178">
        <v>-5</v>
      </c>
      <c r="E495" s="178">
        <v>-5</v>
      </c>
      <c r="F495">
        <v>0</v>
      </c>
      <c r="G495" t="s">
        <v>497</v>
      </c>
    </row>
    <row r="496" spans="1:9">
      <c r="A496" s="178">
        <v>650</v>
      </c>
      <c r="B496" s="178" t="s">
        <v>295</v>
      </c>
      <c r="C496" s="178">
        <v>8932</v>
      </c>
      <c r="D496" s="178">
        <v>7130.25</v>
      </c>
      <c r="E496" s="178">
        <v>16062.25</v>
      </c>
      <c r="F496">
        <v>8932</v>
      </c>
      <c r="G496" t="s">
        <v>497</v>
      </c>
    </row>
    <row r="497" spans="1:9">
      <c r="A497" s="178" t="s">
        <v>440</v>
      </c>
      <c r="B497" s="178" t="s">
        <v>402</v>
      </c>
      <c r="C497" s="178" t="s">
        <v>651</v>
      </c>
      <c r="D497" s="178" t="s">
        <v>652</v>
      </c>
      <c r="E497" s="178" t="s">
        <v>653</v>
      </c>
      <c r="F497" t="s">
        <v>654</v>
      </c>
      <c r="G497" t="s">
        <v>405</v>
      </c>
    </row>
    <row r="498" spans="1:9">
      <c r="A498" s="178">
        <v>30</v>
      </c>
      <c r="B498" s="178" t="s">
        <v>406</v>
      </c>
      <c r="C498" s="178">
        <v>0</v>
      </c>
      <c r="D498" s="178">
        <v>0</v>
      </c>
      <c r="E498" s="178">
        <v>0</v>
      </c>
      <c r="F498">
        <v>0</v>
      </c>
      <c r="G498" t="s">
        <v>497</v>
      </c>
    </row>
    <row r="499" spans="1:9">
      <c r="A499" s="178">
        <v>40</v>
      </c>
      <c r="B499" s="178" t="s">
        <v>655</v>
      </c>
      <c r="C499" s="178">
        <v>0</v>
      </c>
      <c r="D499" s="178">
        <v>0</v>
      </c>
      <c r="E499" s="178">
        <v>0</v>
      </c>
      <c r="F499">
        <v>0</v>
      </c>
      <c r="G499" t="s">
        <v>497</v>
      </c>
    </row>
    <row r="500" spans="1:9">
      <c r="A500" s="178">
        <v>50</v>
      </c>
      <c r="B500" s="178" t="s">
        <v>409</v>
      </c>
      <c r="C500" s="178">
        <v>0</v>
      </c>
      <c r="D500" s="178">
        <v>0</v>
      </c>
      <c r="E500" s="178">
        <v>0</v>
      </c>
      <c r="F500">
        <v>0</v>
      </c>
      <c r="G500" t="s">
        <v>497</v>
      </c>
    </row>
    <row r="501" spans="1:9">
      <c r="A501" s="178">
        <v>60</v>
      </c>
      <c r="B501" s="178" t="s">
        <v>656</v>
      </c>
      <c r="C501" s="178">
        <v>0</v>
      </c>
      <c r="D501" s="178">
        <v>0</v>
      </c>
      <c r="E501" s="178">
        <v>0</v>
      </c>
      <c r="F501">
        <v>0</v>
      </c>
      <c r="G501" t="s">
        <v>497</v>
      </c>
    </row>
    <row r="502" spans="1:9">
      <c r="A502" s="178">
        <v>70</v>
      </c>
      <c r="B502" s="178" t="s">
        <v>618</v>
      </c>
      <c r="C502" s="178">
        <v>0</v>
      </c>
      <c r="D502" s="178">
        <v>0</v>
      </c>
      <c r="E502" s="178">
        <v>0</v>
      </c>
      <c r="F502">
        <v>0</v>
      </c>
      <c r="G502" t="s">
        <v>497</v>
      </c>
    </row>
    <row r="503" spans="1:9">
      <c r="A503" s="178">
        <v>80</v>
      </c>
      <c r="B503" s="178" t="s">
        <v>412</v>
      </c>
      <c r="C503" s="178">
        <v>0</v>
      </c>
      <c r="D503" s="178">
        <v>0</v>
      </c>
      <c r="E503" s="178">
        <v>0</v>
      </c>
      <c r="F503">
        <v>0</v>
      </c>
      <c r="G503" t="s">
        <v>497</v>
      </c>
    </row>
    <row r="504" spans="1:9">
      <c r="A504" s="178">
        <v>90</v>
      </c>
      <c r="B504" s="178" t="s">
        <v>413</v>
      </c>
      <c r="C504" s="178">
        <v>53631.16</v>
      </c>
      <c r="D504" s="178">
        <v>0</v>
      </c>
      <c r="E504" s="178">
        <v>53631.16</v>
      </c>
      <c r="F504">
        <v>53631.16</v>
      </c>
      <c r="G504" t="s">
        <v>497</v>
      </c>
    </row>
    <row r="505" spans="1:9">
      <c r="A505" s="178">
        <v>100</v>
      </c>
      <c r="B505" s="178" t="s">
        <v>414</v>
      </c>
      <c r="C505" s="178">
        <v>0</v>
      </c>
      <c r="D505" s="178">
        <v>0</v>
      </c>
      <c r="E505" s="178">
        <v>0</v>
      </c>
      <c r="F505">
        <v>0</v>
      </c>
      <c r="G505" t="s">
        <v>497</v>
      </c>
    </row>
    <row r="506" spans="1:9">
      <c r="A506" s="178">
        <v>120</v>
      </c>
      <c r="B506" s="178" t="s">
        <v>416</v>
      </c>
      <c r="C506" s="178">
        <v>-53631.16</v>
      </c>
      <c r="D506" s="178">
        <v>0</v>
      </c>
      <c r="E506" s="178">
        <v>-53631.16</v>
      </c>
      <c r="F506">
        <v>-53631.16</v>
      </c>
      <c r="G506" t="s">
        <v>497</v>
      </c>
    </row>
    <row r="507" spans="1:9">
      <c r="A507" s="178">
        <v>130</v>
      </c>
      <c r="B507" s="178" t="s">
        <v>621</v>
      </c>
      <c r="C507" s="178">
        <v>0</v>
      </c>
      <c r="D507" s="178">
        <v>0</v>
      </c>
      <c r="E507" s="178">
        <v>0</v>
      </c>
      <c r="F507">
        <v>0</v>
      </c>
      <c r="G507" t="s">
        <v>497</v>
      </c>
    </row>
    <row r="508" spans="1:9">
      <c r="A508" s="178">
        <v>135</v>
      </c>
      <c r="B508" s="178" t="s">
        <v>657</v>
      </c>
      <c r="C508" s="178">
        <v>0</v>
      </c>
      <c r="D508" s="178">
        <v>0</v>
      </c>
      <c r="E508" s="178">
        <v>0</v>
      </c>
      <c r="F508">
        <v>0</v>
      </c>
      <c r="G508" t="s">
        <v>497</v>
      </c>
    </row>
    <row r="509" spans="1:9">
      <c r="A509" s="178">
        <v>140</v>
      </c>
      <c r="B509" s="178" t="s">
        <v>419</v>
      </c>
      <c r="C509" s="178">
        <v>0</v>
      </c>
      <c r="D509" s="178">
        <v>0</v>
      </c>
      <c r="E509" s="178">
        <v>0</v>
      </c>
      <c r="F509">
        <v>0</v>
      </c>
      <c r="G509" t="s">
        <v>497</v>
      </c>
    </row>
    <row r="510" spans="1:9">
      <c r="A510" s="178">
        <v>150</v>
      </c>
      <c r="B510" s="178" t="s">
        <v>420</v>
      </c>
      <c r="C510" s="178">
        <v>0</v>
      </c>
      <c r="D510" s="178">
        <v>0</v>
      </c>
      <c r="E510" s="178">
        <v>0</v>
      </c>
      <c r="F510">
        <v>0</v>
      </c>
      <c r="G510" t="s">
        <v>497</v>
      </c>
    </row>
    <row r="511" spans="1:9">
      <c r="A511" s="178">
        <v>160</v>
      </c>
      <c r="B511" s="178" t="s">
        <v>422</v>
      </c>
      <c r="C511" s="178">
        <v>0</v>
      </c>
      <c r="D511" s="178">
        <v>0</v>
      </c>
      <c r="E511" s="178">
        <v>0</v>
      </c>
      <c r="F511">
        <v>0</v>
      </c>
      <c r="G511" t="s">
        <v>497</v>
      </c>
    </row>
    <row r="512" spans="1:9">
      <c r="A512" s="178">
        <v>170</v>
      </c>
      <c r="B512" s="178" t="s">
        <v>423</v>
      </c>
      <c r="C512" s="178">
        <v>-53631.16</v>
      </c>
      <c r="D512" s="178">
        <v>0</v>
      </c>
      <c r="E512" s="178">
        <v>-53631.16</v>
      </c>
      <c r="F512">
        <v>-53631.16</v>
      </c>
      <c r="G512" t="s">
        <v>497</v>
      </c>
    </row>
    <row r="513" spans="1:9">
      <c r="A513" s="178">
        <v>180</v>
      </c>
      <c r="B513" s="178" t="s">
        <v>626</v>
      </c>
      <c r="C513" s="178">
        <v>0</v>
      </c>
      <c r="D513" s="178">
        <v>0</v>
      </c>
      <c r="E513" s="178">
        <v>0</v>
      </c>
      <c r="F513">
        <v>0</v>
      </c>
      <c r="G513" t="s">
        <v>497</v>
      </c>
    </row>
    <row r="514" spans="1:9">
      <c r="A514" s="178">
        <v>200</v>
      </c>
      <c r="B514" s="178" t="s">
        <v>426</v>
      </c>
      <c r="C514" s="178">
        <v>-53631.16</v>
      </c>
      <c r="D514" s="178">
        <v>0</v>
      </c>
      <c r="E514" s="178">
        <v>-53631.16</v>
      </c>
      <c r="F514">
        <v>-53631.16</v>
      </c>
      <c r="G514" t="s">
        <v>497</v>
      </c>
    </row>
    <row r="515" spans="1:9">
      <c r="A515" s="178">
        <v>220</v>
      </c>
      <c r="B515" s="178" t="s">
        <v>628</v>
      </c>
      <c r="C515" s="178">
        <v>0</v>
      </c>
      <c r="D515" s="178">
        <v>0</v>
      </c>
      <c r="E515" s="178">
        <v>0</v>
      </c>
      <c r="F515">
        <v>0</v>
      </c>
      <c r="G515" t="s">
        <v>497</v>
      </c>
    </row>
    <row r="516" spans="1:9">
      <c r="A516" s="178">
        <v>230</v>
      </c>
      <c r="B516" s="178" t="s">
        <v>266</v>
      </c>
      <c r="C516" s="178">
        <v>-15000.01</v>
      </c>
      <c r="D516" s="178">
        <v>-2203671.02</v>
      </c>
      <c r="E516" s="178">
        <v>-2218671.03</v>
      </c>
      <c r="F516">
        <v>-15000.01</v>
      </c>
      <c r="G516" t="s">
        <v>497</v>
      </c>
    </row>
    <row r="517" spans="1:9">
      <c r="A517" s="178">
        <v>235</v>
      </c>
      <c r="B517" s="178" t="s">
        <v>629</v>
      </c>
      <c r="C517" s="178">
        <v>0</v>
      </c>
      <c r="D517" s="178">
        <v>0</v>
      </c>
      <c r="E517" s="178">
        <v>0</v>
      </c>
      <c r="F517">
        <v>0</v>
      </c>
      <c r="G517" t="s">
        <v>497</v>
      </c>
    </row>
    <row r="518" spans="1:9">
      <c r="A518" s="178">
        <v>237</v>
      </c>
      <c r="B518" s="178" t="s">
        <v>658</v>
      </c>
      <c r="C518" s="178">
        <v>0</v>
      </c>
      <c r="D518" s="178">
        <v>0</v>
      </c>
      <c r="E518" s="178">
        <v>0</v>
      </c>
      <c r="F518">
        <v>0</v>
      </c>
      <c r="G518" t="s">
        <v>497</v>
      </c>
    </row>
    <row r="519" spans="1:9">
      <c r="A519" s="178">
        <v>240</v>
      </c>
      <c r="B519" s="178" t="s">
        <v>659</v>
      </c>
      <c r="C519" s="178">
        <v>0</v>
      </c>
      <c r="D519" s="178">
        <v>0</v>
      </c>
      <c r="E519" s="178">
        <v>0</v>
      </c>
      <c r="F519">
        <v>0</v>
      </c>
      <c r="G519" t="s">
        <v>497</v>
      </c>
    </row>
    <row r="520" spans="1:9">
      <c r="A520" s="178">
        <v>250</v>
      </c>
      <c r="B520" s="178" t="s">
        <v>268</v>
      </c>
      <c r="C520" s="178">
        <v>0</v>
      </c>
      <c r="D520" s="178">
        <v>-1155393.71</v>
      </c>
      <c r="E520" s="178">
        <v>-1155393.71</v>
      </c>
      <c r="F520">
        <v>0</v>
      </c>
      <c r="G520" t="s">
        <v>497</v>
      </c>
    </row>
    <row r="521" spans="1:9">
      <c r="A521" s="178">
        <v>260</v>
      </c>
      <c r="B521" s="178" t="s">
        <v>630</v>
      </c>
      <c r="C521" s="178">
        <v>25802.52</v>
      </c>
      <c r="D521" s="178">
        <v>0</v>
      </c>
      <c r="E521" s="178">
        <v>25802.52</v>
      </c>
      <c r="F521">
        <v>25802.52</v>
      </c>
      <c r="G521" t="s">
        <v>497</v>
      </c>
    </row>
    <row r="522" spans="1:9">
      <c r="A522" s="178">
        <v>270</v>
      </c>
      <c r="B522" s="178" t="s">
        <v>269</v>
      </c>
      <c r="C522" s="178">
        <v>0</v>
      </c>
      <c r="D522" s="178">
        <v>-2196408.34</v>
      </c>
      <c r="E522" s="178">
        <v>-2196408.34</v>
      </c>
      <c r="F522">
        <v>0</v>
      </c>
      <c r="G522" t="s">
        <v>497</v>
      </c>
    </row>
    <row r="523" spans="1:9">
      <c r="A523" s="178">
        <v>300</v>
      </c>
      <c r="B523" s="178" t="s">
        <v>270</v>
      </c>
      <c r="C523" s="178">
        <v>36880.49</v>
      </c>
      <c r="D523" s="178">
        <v>13164121.66</v>
      </c>
      <c r="E523" s="178">
        <v>13201002.15</v>
      </c>
      <c r="F523">
        <v>36880.49</v>
      </c>
      <c r="G523" t="s">
        <v>497</v>
      </c>
    </row>
    <row r="524" spans="1:9">
      <c r="A524" s="178">
        <v>310</v>
      </c>
      <c r="B524" s="178" t="s">
        <v>631</v>
      </c>
      <c r="C524" s="178">
        <v>0</v>
      </c>
      <c r="D524" s="178">
        <v>0</v>
      </c>
      <c r="E524" s="178">
        <v>0</v>
      </c>
      <c r="F524">
        <v>0</v>
      </c>
      <c r="G524" t="s">
        <v>497</v>
      </c>
    </row>
    <row r="525" spans="1:9">
      <c r="A525" s="178">
        <v>320</v>
      </c>
      <c r="B525" s="178" t="s">
        <v>271</v>
      </c>
      <c r="C525" s="178">
        <v>0</v>
      </c>
      <c r="D525" s="178">
        <v>0</v>
      </c>
      <c r="E525" s="178">
        <v>0</v>
      </c>
      <c r="F525">
        <v>0</v>
      </c>
      <c r="G525" t="s">
        <v>497</v>
      </c>
    </row>
    <row r="526" spans="1:9">
      <c r="A526" s="178">
        <v>325</v>
      </c>
      <c r="B526" s="178" t="s">
        <v>272</v>
      </c>
      <c r="C526" s="178">
        <v>34.72</v>
      </c>
      <c r="D526" s="178">
        <v>0</v>
      </c>
      <c r="E526" s="178">
        <v>34.72</v>
      </c>
      <c r="F526">
        <v>34.72</v>
      </c>
      <c r="G526" t="s">
        <v>497</v>
      </c>
    </row>
    <row r="527" spans="1:9">
      <c r="A527" s="178">
        <v>330</v>
      </c>
      <c r="B527" s="178" t="s">
        <v>632</v>
      </c>
      <c r="C527" s="178">
        <v>-18236.6</v>
      </c>
      <c r="D527" s="178">
        <v>-0.14</v>
      </c>
      <c r="E527" s="178">
        <v>-18236.74</v>
      </c>
      <c r="F527">
        <v>-18236.6</v>
      </c>
      <c r="G527" t="s">
        <v>497</v>
      </c>
    </row>
    <row r="528" spans="1:9">
      <c r="A528" s="178">
        <v>340</v>
      </c>
      <c r="B528" s="178" t="s">
        <v>633</v>
      </c>
      <c r="C528" s="178">
        <v>0</v>
      </c>
      <c r="D528" s="178">
        <v>0</v>
      </c>
      <c r="E528" s="178">
        <v>0</v>
      </c>
      <c r="F528">
        <v>0</v>
      </c>
      <c r="G528" t="s">
        <v>497</v>
      </c>
    </row>
    <row r="529" spans="1:9">
      <c r="A529" s="178">
        <v>350</v>
      </c>
      <c r="B529" s="178" t="s">
        <v>660</v>
      </c>
      <c r="C529" s="178">
        <v>0</v>
      </c>
      <c r="D529" s="178">
        <v>0</v>
      </c>
      <c r="E529" s="178">
        <v>0</v>
      </c>
      <c r="F529">
        <v>0</v>
      </c>
      <c r="G529" t="s">
        <v>497</v>
      </c>
    </row>
    <row r="530" spans="1:9">
      <c r="A530" s="178">
        <v>380</v>
      </c>
      <c r="B530" s="178" t="s">
        <v>661</v>
      </c>
      <c r="C530" s="178">
        <v>29481.12</v>
      </c>
      <c r="D530" s="178">
        <v>7608648.45</v>
      </c>
      <c r="E530" s="178">
        <v>7638129.57</v>
      </c>
      <c r="F530">
        <v>29481.12</v>
      </c>
      <c r="G530" t="s">
        <v>497</v>
      </c>
    </row>
    <row r="531" spans="1:9">
      <c r="A531" s="178">
        <v>390</v>
      </c>
      <c r="B531" s="178" t="s">
        <v>273</v>
      </c>
      <c r="C531" s="178">
        <v>0</v>
      </c>
      <c r="D531" s="178">
        <v>0</v>
      </c>
      <c r="E531" s="178">
        <v>0</v>
      </c>
      <c r="F531">
        <v>0</v>
      </c>
      <c r="G531" t="s">
        <v>497</v>
      </c>
    </row>
    <row r="532" spans="1:9">
      <c r="A532" s="178">
        <v>400</v>
      </c>
      <c r="B532" s="178" t="s">
        <v>274</v>
      </c>
      <c r="C532" s="178">
        <v>0</v>
      </c>
      <c r="D532" s="178">
        <v>0</v>
      </c>
      <c r="E532" s="178">
        <v>0</v>
      </c>
      <c r="F532">
        <v>0</v>
      </c>
      <c r="G532" t="s">
        <v>497</v>
      </c>
    </row>
    <row r="533" spans="1:9">
      <c r="A533" s="178">
        <v>405</v>
      </c>
      <c r="B533" s="178" t="s">
        <v>275</v>
      </c>
      <c r="C533" s="178">
        <v>0</v>
      </c>
      <c r="D533" s="178">
        <v>0</v>
      </c>
      <c r="E533" s="178">
        <v>0</v>
      </c>
      <c r="F533">
        <v>0</v>
      </c>
      <c r="G533" t="s">
        <v>497</v>
      </c>
    </row>
    <row r="534" spans="1:9">
      <c r="A534" s="178">
        <v>410</v>
      </c>
      <c r="B534" s="178" t="s">
        <v>276</v>
      </c>
      <c r="C534" s="178">
        <v>0</v>
      </c>
      <c r="D534" s="178">
        <v>29232882</v>
      </c>
      <c r="E534" s="178">
        <v>29232882</v>
      </c>
      <c r="F534">
        <v>0</v>
      </c>
      <c r="G534" t="s">
        <v>497</v>
      </c>
    </row>
    <row r="535" spans="1:9">
      <c r="A535" s="178">
        <v>420</v>
      </c>
      <c r="B535" s="178" t="s">
        <v>662</v>
      </c>
      <c r="C535" s="178">
        <v>0</v>
      </c>
      <c r="D535" s="178">
        <v>0</v>
      </c>
      <c r="E535" s="178">
        <v>0</v>
      </c>
      <c r="F535">
        <v>0</v>
      </c>
      <c r="G535" t="s">
        <v>497</v>
      </c>
    </row>
    <row r="536" spans="1:9">
      <c r="A536" s="178">
        <v>425</v>
      </c>
      <c r="B536" s="178" t="s">
        <v>635</v>
      </c>
      <c r="C536" s="178">
        <v>0</v>
      </c>
      <c r="D536" s="178">
        <v>57195.99</v>
      </c>
      <c r="E536" s="178">
        <v>57195.99</v>
      </c>
      <c r="F536">
        <v>0</v>
      </c>
      <c r="G536" t="s">
        <v>497</v>
      </c>
    </row>
    <row r="537" spans="1:9">
      <c r="A537" s="178">
        <v>427</v>
      </c>
      <c r="B537" s="178" t="s">
        <v>663</v>
      </c>
      <c r="C537" s="178">
        <v>0</v>
      </c>
      <c r="D537" s="178">
        <v>0</v>
      </c>
      <c r="E537" s="178">
        <v>0</v>
      </c>
      <c r="F537">
        <v>0</v>
      </c>
      <c r="G537" t="s">
        <v>497</v>
      </c>
    </row>
    <row r="538" spans="1:9">
      <c r="A538" s="178">
        <v>430</v>
      </c>
      <c r="B538" s="178" t="s">
        <v>279</v>
      </c>
      <c r="C538" s="178">
        <v>0</v>
      </c>
      <c r="D538" s="178">
        <v>-127724.93</v>
      </c>
      <c r="E538" s="178">
        <v>-127724.93</v>
      </c>
      <c r="F538">
        <v>0</v>
      </c>
      <c r="G538" t="s">
        <v>497</v>
      </c>
    </row>
    <row r="539" spans="1:9">
      <c r="A539" s="178">
        <v>440</v>
      </c>
      <c r="B539" s="178" t="s">
        <v>280</v>
      </c>
      <c r="C539" s="178">
        <v>0</v>
      </c>
      <c r="D539" s="178">
        <v>29162353.06</v>
      </c>
      <c r="E539" s="178">
        <v>29162353.06</v>
      </c>
      <c r="F539">
        <v>0</v>
      </c>
      <c r="G539" t="s">
        <v>497</v>
      </c>
    </row>
    <row r="540" spans="1:9">
      <c r="A540" s="178">
        <v>450</v>
      </c>
      <c r="B540" s="178" t="s">
        <v>281</v>
      </c>
      <c r="C540" s="178">
        <v>0</v>
      </c>
      <c r="D540" s="178">
        <v>0</v>
      </c>
      <c r="E540" s="178">
        <v>0</v>
      </c>
      <c r="F540">
        <v>0</v>
      </c>
      <c r="G540" t="s">
        <v>497</v>
      </c>
    </row>
    <row r="541" spans="1:9">
      <c r="A541" s="178">
        <v>455</v>
      </c>
      <c r="B541" s="178" t="s">
        <v>664</v>
      </c>
      <c r="C541" s="178">
        <v>0</v>
      </c>
      <c r="D541" s="178">
        <v>-1</v>
      </c>
      <c r="E541" s="178">
        <v>-1</v>
      </c>
      <c r="F541">
        <v>0</v>
      </c>
      <c r="G541" t="s">
        <v>497</v>
      </c>
    </row>
    <row r="542" spans="1:9">
      <c r="A542" s="178">
        <v>456</v>
      </c>
      <c r="B542" s="178" t="s">
        <v>637</v>
      </c>
      <c r="C542" s="178">
        <v>0</v>
      </c>
      <c r="D542" s="178">
        <v>14787044.74</v>
      </c>
      <c r="E542" s="178">
        <v>14787044.74</v>
      </c>
      <c r="F542">
        <v>0</v>
      </c>
      <c r="G542" t="s">
        <v>497</v>
      </c>
    </row>
    <row r="543" spans="1:9">
      <c r="A543" s="178">
        <v>460</v>
      </c>
      <c r="B543" s="178" t="s">
        <v>283</v>
      </c>
      <c r="C543" s="178">
        <v>0</v>
      </c>
      <c r="D543" s="178">
        <v>-1</v>
      </c>
      <c r="E543" s="178">
        <v>-1</v>
      </c>
      <c r="F543">
        <v>0</v>
      </c>
      <c r="G543" t="s">
        <v>497</v>
      </c>
    </row>
    <row r="544" spans="1:9">
      <c r="A544" s="178">
        <v>470</v>
      </c>
      <c r="B544" s="178" t="s">
        <v>665</v>
      </c>
      <c r="C544" s="178">
        <v>0</v>
      </c>
      <c r="D544" s="178">
        <v>2514039.74</v>
      </c>
      <c r="E544" s="178">
        <v>2514039.74</v>
      </c>
      <c r="F544">
        <v>0</v>
      </c>
      <c r="G544" t="s">
        <v>497</v>
      </c>
    </row>
    <row r="545" spans="1:9">
      <c r="A545" s="178">
        <v>480</v>
      </c>
      <c r="B545" s="178" t="s">
        <v>284</v>
      </c>
      <c r="C545" s="178">
        <v>0</v>
      </c>
      <c r="D545" s="178">
        <v>-1</v>
      </c>
      <c r="E545" s="178">
        <v>-1</v>
      </c>
      <c r="F545">
        <v>0</v>
      </c>
      <c r="G545" t="s">
        <v>497</v>
      </c>
    </row>
    <row r="546" spans="1:9">
      <c r="A546" s="178">
        <v>490</v>
      </c>
      <c r="B546" s="178" t="s">
        <v>666</v>
      </c>
      <c r="C546" s="178">
        <v>0</v>
      </c>
      <c r="D546" s="178">
        <v>8596028.16</v>
      </c>
      <c r="E546" s="178">
        <v>8596028.16</v>
      </c>
      <c r="F546">
        <v>0</v>
      </c>
      <c r="G546" t="s">
        <v>497</v>
      </c>
    </row>
    <row r="547" spans="1:9">
      <c r="A547" s="178">
        <v>500</v>
      </c>
      <c r="B547" s="178" t="s">
        <v>285</v>
      </c>
      <c r="C547" s="178">
        <v>0</v>
      </c>
      <c r="D547" s="178">
        <v>-1</v>
      </c>
      <c r="E547" s="178">
        <v>-1</v>
      </c>
      <c r="F547">
        <v>0</v>
      </c>
      <c r="G547" t="s">
        <v>497</v>
      </c>
    </row>
    <row r="548" spans="1:9">
      <c r="A548" s="178">
        <v>510</v>
      </c>
      <c r="B548" s="178" t="s">
        <v>640</v>
      </c>
      <c r="C548" s="178">
        <v>0</v>
      </c>
      <c r="D548" s="178">
        <v>1734026.56</v>
      </c>
      <c r="E548" s="178">
        <v>1734026.56</v>
      </c>
      <c r="F548">
        <v>0</v>
      </c>
      <c r="G548" t="s">
        <v>497</v>
      </c>
    </row>
    <row r="549" spans="1:9">
      <c r="A549" s="178">
        <v>512</v>
      </c>
      <c r="B549" s="178" t="s">
        <v>667</v>
      </c>
      <c r="C549" s="178">
        <v>0</v>
      </c>
      <c r="D549" s="178">
        <v>-1</v>
      </c>
      <c r="E549" s="178">
        <v>-1</v>
      </c>
      <c r="F549">
        <v>0</v>
      </c>
      <c r="G549" t="s">
        <v>497</v>
      </c>
    </row>
    <row r="550" spans="1:9">
      <c r="A550" s="178">
        <v>514</v>
      </c>
      <c r="B550" s="178" t="s">
        <v>676</v>
      </c>
      <c r="C550" s="178">
        <v>0</v>
      </c>
      <c r="D550" s="178">
        <v>2633682.66</v>
      </c>
      <c r="E550" s="178">
        <v>2633682.66</v>
      </c>
      <c r="F550">
        <v>0</v>
      </c>
      <c r="G550" t="s">
        <v>497</v>
      </c>
    </row>
    <row r="551" spans="1:9">
      <c r="A551" s="178">
        <v>520</v>
      </c>
      <c r="B551" s="178" t="s">
        <v>668</v>
      </c>
      <c r="C551" s="178">
        <v>0</v>
      </c>
      <c r="D551" s="178">
        <v>0</v>
      </c>
      <c r="E551" s="178">
        <v>0</v>
      </c>
      <c r="F551">
        <v>0</v>
      </c>
      <c r="G551" t="s">
        <v>497</v>
      </c>
    </row>
    <row r="552" spans="1:9">
      <c r="A552" s="178">
        <v>530</v>
      </c>
      <c r="B552" s="178" t="s">
        <v>643</v>
      </c>
      <c r="C552" s="178">
        <v>0</v>
      </c>
      <c r="D552" s="178">
        <v>0</v>
      </c>
      <c r="E552" s="178">
        <v>0</v>
      </c>
      <c r="F552">
        <v>0</v>
      </c>
      <c r="G552" t="s">
        <v>497</v>
      </c>
    </row>
    <row r="553" spans="1:9">
      <c r="A553" s="178">
        <v>540</v>
      </c>
      <c r="B553" s="178" t="s">
        <v>644</v>
      </c>
      <c r="C553" s="178">
        <v>0</v>
      </c>
      <c r="D553" s="178">
        <v>0</v>
      </c>
      <c r="E553" s="178">
        <v>0</v>
      </c>
      <c r="F553">
        <v>0</v>
      </c>
      <c r="G553" t="s">
        <v>497</v>
      </c>
    </row>
    <row r="554" spans="1:9">
      <c r="A554" s="178">
        <v>550</v>
      </c>
      <c r="B554" s="178" t="s">
        <v>645</v>
      </c>
      <c r="C554" s="178">
        <v>0</v>
      </c>
      <c r="D554" s="178">
        <v>0</v>
      </c>
      <c r="E554" s="178">
        <v>0</v>
      </c>
      <c r="F554">
        <v>0</v>
      </c>
      <c r="G554" t="s">
        <v>497</v>
      </c>
    </row>
    <row r="555" spans="1:9">
      <c r="A555" s="178">
        <v>560</v>
      </c>
      <c r="B555" s="178" t="s">
        <v>677</v>
      </c>
      <c r="C555" s="178">
        <v>0</v>
      </c>
      <c r="D555" s="178">
        <v>0</v>
      </c>
      <c r="E555" s="178">
        <v>0</v>
      </c>
      <c r="F555">
        <v>0</v>
      </c>
      <c r="G555" t="s">
        <v>497</v>
      </c>
    </row>
    <row r="556" spans="1:9">
      <c r="A556" s="178">
        <v>570</v>
      </c>
      <c r="B556" s="178" t="s">
        <v>647</v>
      </c>
      <c r="C556" s="178">
        <v>0</v>
      </c>
      <c r="D556" s="178">
        <v>0</v>
      </c>
      <c r="E556" s="178">
        <v>0</v>
      </c>
      <c r="F556">
        <v>0</v>
      </c>
      <c r="G556" t="s">
        <v>497</v>
      </c>
    </row>
    <row r="557" spans="1:9">
      <c r="A557" s="178">
        <v>580</v>
      </c>
      <c r="B557" s="178" t="s">
        <v>290</v>
      </c>
      <c r="C557" s="178">
        <v>0</v>
      </c>
      <c r="D557" s="178">
        <v>0</v>
      </c>
      <c r="E557" s="178">
        <v>0</v>
      </c>
      <c r="F557">
        <v>0</v>
      </c>
      <c r="G557" t="s">
        <v>497</v>
      </c>
    </row>
    <row r="558" spans="1:9">
      <c r="A558" s="178">
        <v>590</v>
      </c>
      <c r="B558" s="178" t="s">
        <v>671</v>
      </c>
      <c r="C558" s="178">
        <v>0</v>
      </c>
      <c r="D558" s="178">
        <v>0</v>
      </c>
      <c r="E558" s="178">
        <v>0</v>
      </c>
      <c r="F558">
        <v>0</v>
      </c>
      <c r="G558" t="s">
        <v>497</v>
      </c>
    </row>
    <row r="559" spans="1:9">
      <c r="A559" s="178">
        <v>600</v>
      </c>
      <c r="B559" s="178" t="s">
        <v>672</v>
      </c>
      <c r="C559" s="178">
        <v>0</v>
      </c>
      <c r="D559" s="178">
        <v>0</v>
      </c>
      <c r="E559" s="178">
        <v>0</v>
      </c>
      <c r="F559">
        <v>0</v>
      </c>
      <c r="G559" t="s">
        <v>497</v>
      </c>
    </row>
    <row r="560" spans="1:9">
      <c r="A560" s="178">
        <v>610</v>
      </c>
      <c r="B560" s="178" t="s">
        <v>649</v>
      </c>
      <c r="C560" s="178">
        <v>0</v>
      </c>
      <c r="D560" s="178">
        <v>0</v>
      </c>
      <c r="E560" s="178">
        <v>0</v>
      </c>
      <c r="F560">
        <v>0</v>
      </c>
      <c r="G560" t="s">
        <v>497</v>
      </c>
    </row>
    <row r="561" spans="1:9">
      <c r="A561" s="178">
        <v>615</v>
      </c>
      <c r="B561" s="178" t="s">
        <v>674</v>
      </c>
      <c r="C561" s="178">
        <v>0</v>
      </c>
      <c r="D561" s="178">
        <v>0</v>
      </c>
      <c r="E561" s="178">
        <v>0</v>
      </c>
      <c r="F561">
        <v>0</v>
      </c>
      <c r="G561" t="s">
        <v>497</v>
      </c>
    </row>
    <row r="562" spans="1:9">
      <c r="A562" s="178">
        <v>620</v>
      </c>
      <c r="B562" s="178" t="s">
        <v>292</v>
      </c>
      <c r="C562" s="178">
        <v>0</v>
      </c>
      <c r="D562" s="178">
        <v>0</v>
      </c>
      <c r="E562" s="178">
        <v>0</v>
      </c>
      <c r="F562">
        <v>0</v>
      </c>
      <c r="G562" t="s">
        <v>497</v>
      </c>
    </row>
    <row r="563" spans="1:9">
      <c r="A563" s="178">
        <v>630</v>
      </c>
      <c r="B563" s="178" t="s">
        <v>293</v>
      </c>
      <c r="C563" s="178">
        <v>0</v>
      </c>
      <c r="D563" s="178">
        <v>-14180747.4</v>
      </c>
      <c r="E563" s="178">
        <v>-14180747.4</v>
      </c>
      <c r="F563">
        <v>0</v>
      </c>
      <c r="G563" t="s">
        <v>497</v>
      </c>
    </row>
    <row r="564" spans="1:9">
      <c r="A564" s="178">
        <v>635</v>
      </c>
      <c r="B564" s="178" t="s">
        <v>675</v>
      </c>
      <c r="C564" s="178">
        <v>0</v>
      </c>
      <c r="D564" s="178">
        <v>0</v>
      </c>
      <c r="E564" s="178">
        <v>0</v>
      </c>
      <c r="F564">
        <v>0</v>
      </c>
      <c r="G564" t="s">
        <v>497</v>
      </c>
    </row>
    <row r="565" spans="1:9">
      <c r="A565" s="178">
        <v>640</v>
      </c>
      <c r="B565" s="178" t="s">
        <v>294</v>
      </c>
      <c r="C565" s="178">
        <v>0</v>
      </c>
      <c r="D565" s="178">
        <v>16084069.46</v>
      </c>
      <c r="E565" s="178">
        <v>16084069.46</v>
      </c>
      <c r="F565">
        <v>0</v>
      </c>
      <c r="G565" t="s">
        <v>497</v>
      </c>
    </row>
    <row r="566" spans="1:9">
      <c r="A566" s="178">
        <v>650</v>
      </c>
      <c r="B566" s="178" t="s">
        <v>295</v>
      </c>
      <c r="C566" s="178">
        <v>-24150.04</v>
      </c>
      <c r="D566" s="178">
        <v>52855070.97</v>
      </c>
      <c r="E566" s="178">
        <v>52830920.93</v>
      </c>
      <c r="F566">
        <v>-24150.04</v>
      </c>
      <c r="G566" t="s">
        <v>497</v>
      </c>
    </row>
    <row r="567" spans="1:9">
      <c r="A567" s="178" t="s">
        <v>441</v>
      </c>
      <c r="B567" s="178" t="s">
        <v>402</v>
      </c>
      <c r="C567" s="178" t="s">
        <v>651</v>
      </c>
      <c r="D567" s="178" t="s">
        <v>652</v>
      </c>
      <c r="E567" s="178" t="s">
        <v>653</v>
      </c>
      <c r="F567" t="s">
        <v>654</v>
      </c>
      <c r="G567" t="s">
        <v>405</v>
      </c>
    </row>
    <row r="568" spans="1:9">
      <c r="A568" s="178">
        <v>30</v>
      </c>
      <c r="B568" s="178" t="s">
        <v>406</v>
      </c>
      <c r="C568" s="178">
        <v>0</v>
      </c>
      <c r="D568" s="178">
        <v>0</v>
      </c>
      <c r="E568" s="178">
        <v>0</v>
      </c>
      <c r="F568">
        <v>0</v>
      </c>
      <c r="G568" t="s">
        <v>497</v>
      </c>
    </row>
    <row r="569" spans="1:9">
      <c r="A569" s="178">
        <v>40</v>
      </c>
      <c r="B569" s="178" t="s">
        <v>655</v>
      </c>
      <c r="C569" s="178">
        <v>0</v>
      </c>
      <c r="D569" s="178">
        <v>0</v>
      </c>
      <c r="E569" s="178">
        <v>0</v>
      </c>
      <c r="F569">
        <v>0</v>
      </c>
      <c r="G569" t="s">
        <v>497</v>
      </c>
    </row>
    <row r="570" spans="1:9">
      <c r="A570" s="178">
        <v>50</v>
      </c>
      <c r="B570" s="178" t="s">
        <v>409</v>
      </c>
      <c r="C570" s="178">
        <v>0</v>
      </c>
      <c r="D570" s="178">
        <v>0</v>
      </c>
      <c r="E570" s="178">
        <v>0</v>
      </c>
      <c r="F570">
        <v>0</v>
      </c>
      <c r="G570" t="s">
        <v>497</v>
      </c>
    </row>
    <row r="571" spans="1:9">
      <c r="A571" s="178">
        <v>60</v>
      </c>
      <c r="B571" s="178" t="s">
        <v>656</v>
      </c>
      <c r="C571" s="178">
        <v>0</v>
      </c>
      <c r="D571" s="178">
        <v>0</v>
      </c>
      <c r="E571" s="178">
        <v>0</v>
      </c>
      <c r="F571">
        <v>0</v>
      </c>
      <c r="G571" t="s">
        <v>497</v>
      </c>
    </row>
    <row r="572" spans="1:9">
      <c r="A572" s="178">
        <v>70</v>
      </c>
      <c r="B572" s="178" t="s">
        <v>618</v>
      </c>
      <c r="C572" s="178">
        <v>0</v>
      </c>
      <c r="D572" s="178">
        <v>0</v>
      </c>
      <c r="E572" s="178">
        <v>0</v>
      </c>
      <c r="F572">
        <v>0</v>
      </c>
      <c r="G572" t="s">
        <v>497</v>
      </c>
    </row>
    <row r="573" spans="1:9">
      <c r="A573" s="178">
        <v>80</v>
      </c>
      <c r="B573" s="178" t="s">
        <v>412</v>
      </c>
      <c r="C573" s="178">
        <v>0</v>
      </c>
      <c r="D573" s="178">
        <v>0</v>
      </c>
      <c r="E573" s="178">
        <v>0</v>
      </c>
      <c r="F573">
        <v>0</v>
      </c>
      <c r="G573" t="s">
        <v>497</v>
      </c>
    </row>
    <row r="574" spans="1:9">
      <c r="A574" s="178">
        <v>90</v>
      </c>
      <c r="B574" s="178" t="s">
        <v>413</v>
      </c>
      <c r="C574" s="178">
        <v>975</v>
      </c>
      <c r="D574" s="178">
        <v>0</v>
      </c>
      <c r="E574" s="178">
        <v>975</v>
      </c>
      <c r="F574">
        <v>975</v>
      </c>
      <c r="G574" t="s">
        <v>497</v>
      </c>
    </row>
    <row r="575" spans="1:9">
      <c r="A575" s="178">
        <v>100</v>
      </c>
      <c r="B575" s="178" t="s">
        <v>414</v>
      </c>
      <c r="C575" s="178">
        <v>0</v>
      </c>
      <c r="D575" s="178">
        <v>0</v>
      </c>
      <c r="E575" s="178">
        <v>0</v>
      </c>
      <c r="F575">
        <v>0</v>
      </c>
      <c r="G575" t="s">
        <v>497</v>
      </c>
    </row>
    <row r="576" spans="1:9">
      <c r="A576" s="178">
        <v>120</v>
      </c>
      <c r="B576" s="178" t="s">
        <v>416</v>
      </c>
      <c r="C576" s="178">
        <v>-975</v>
      </c>
      <c r="D576" s="178">
        <v>0</v>
      </c>
      <c r="E576" s="178">
        <v>-975</v>
      </c>
      <c r="F576">
        <v>-975</v>
      </c>
      <c r="G576" t="s">
        <v>497</v>
      </c>
    </row>
    <row r="577" spans="1:9">
      <c r="A577" s="178">
        <v>130</v>
      </c>
      <c r="B577" s="178" t="s">
        <v>621</v>
      </c>
      <c r="C577" s="178">
        <v>0</v>
      </c>
      <c r="D577" s="178">
        <v>0</v>
      </c>
      <c r="E577" s="178">
        <v>0</v>
      </c>
      <c r="F577">
        <v>0</v>
      </c>
      <c r="G577" t="s">
        <v>497</v>
      </c>
    </row>
    <row r="578" spans="1:9">
      <c r="A578" s="178">
        <v>135</v>
      </c>
      <c r="B578" s="178" t="s">
        <v>657</v>
      </c>
      <c r="C578" s="178">
        <v>0</v>
      </c>
      <c r="D578" s="178">
        <v>0</v>
      </c>
      <c r="E578" s="178">
        <v>0</v>
      </c>
      <c r="F578">
        <v>0</v>
      </c>
      <c r="G578" t="s">
        <v>497</v>
      </c>
    </row>
    <row r="579" spans="1:9">
      <c r="A579" s="178">
        <v>140</v>
      </c>
      <c r="B579" s="178" t="s">
        <v>419</v>
      </c>
      <c r="C579" s="178">
        <v>0</v>
      </c>
      <c r="D579" s="178">
        <v>0</v>
      </c>
      <c r="E579" s="178">
        <v>0</v>
      </c>
      <c r="F579">
        <v>0</v>
      </c>
      <c r="G579" t="s">
        <v>497</v>
      </c>
    </row>
    <row r="580" spans="1:9">
      <c r="A580" s="178">
        <v>150</v>
      </c>
      <c r="B580" s="178" t="s">
        <v>420</v>
      </c>
      <c r="C580" s="178">
        <v>0</v>
      </c>
      <c r="D580" s="178">
        <v>0</v>
      </c>
      <c r="E580" s="178">
        <v>0</v>
      </c>
      <c r="F580">
        <v>0</v>
      </c>
      <c r="G580" t="s">
        <v>497</v>
      </c>
    </row>
    <row r="581" spans="1:9">
      <c r="A581" s="178">
        <v>160</v>
      </c>
      <c r="B581" s="178" t="s">
        <v>422</v>
      </c>
      <c r="C581" s="178">
        <v>0</v>
      </c>
      <c r="D581" s="178">
        <v>0</v>
      </c>
      <c r="E581" s="178">
        <v>0</v>
      </c>
      <c r="F581">
        <v>0</v>
      </c>
      <c r="G581" t="s">
        <v>497</v>
      </c>
    </row>
    <row r="582" spans="1:9">
      <c r="A582" s="178">
        <v>170</v>
      </c>
      <c r="B582" s="178" t="s">
        <v>423</v>
      </c>
      <c r="C582" s="178">
        <v>-975</v>
      </c>
      <c r="D582" s="178">
        <v>0</v>
      </c>
      <c r="E582" s="178">
        <v>-975</v>
      </c>
      <c r="F582">
        <v>-975</v>
      </c>
      <c r="G582" t="s">
        <v>497</v>
      </c>
    </row>
    <row r="583" spans="1:9">
      <c r="A583" s="178">
        <v>180</v>
      </c>
      <c r="B583" s="178" t="s">
        <v>626</v>
      </c>
      <c r="C583" s="178">
        <v>0</v>
      </c>
      <c r="D583" s="178">
        <v>0</v>
      </c>
      <c r="E583" s="178">
        <v>0</v>
      </c>
      <c r="F583">
        <v>0</v>
      </c>
      <c r="G583" t="s">
        <v>497</v>
      </c>
    </row>
    <row r="584" spans="1:9">
      <c r="A584" s="178">
        <v>200</v>
      </c>
      <c r="B584" s="178" t="s">
        <v>426</v>
      </c>
      <c r="C584" s="178">
        <v>-975</v>
      </c>
      <c r="D584" s="178">
        <v>0</v>
      </c>
      <c r="E584" s="178">
        <v>-975</v>
      </c>
      <c r="F584">
        <v>-975</v>
      </c>
      <c r="G584" t="s">
        <v>497</v>
      </c>
    </row>
    <row r="585" spans="1:9">
      <c r="A585" s="178">
        <v>220</v>
      </c>
      <c r="B585" s="178" t="s">
        <v>628</v>
      </c>
      <c r="C585" s="178">
        <v>0</v>
      </c>
      <c r="D585" s="178">
        <v>0</v>
      </c>
      <c r="E585" s="178">
        <v>0</v>
      </c>
      <c r="F585">
        <v>0</v>
      </c>
      <c r="G585" t="s">
        <v>497</v>
      </c>
    </row>
    <row r="586" spans="1:9">
      <c r="A586" s="178">
        <v>230</v>
      </c>
      <c r="B586" s="178" t="s">
        <v>266</v>
      </c>
      <c r="C586" s="178">
        <v>0</v>
      </c>
      <c r="D586" s="178">
        <v>-252072.92</v>
      </c>
      <c r="E586" s="178">
        <v>-252072.92</v>
      </c>
      <c r="F586">
        <v>0</v>
      </c>
      <c r="G586" t="s">
        <v>497</v>
      </c>
    </row>
    <row r="587" spans="1:9">
      <c r="A587" s="178">
        <v>235</v>
      </c>
      <c r="B587" s="178" t="s">
        <v>629</v>
      </c>
      <c r="C587" s="178">
        <v>0</v>
      </c>
      <c r="D587" s="178">
        <v>0</v>
      </c>
      <c r="E587" s="178">
        <v>0</v>
      </c>
      <c r="F587">
        <v>0</v>
      </c>
      <c r="G587" t="s">
        <v>497</v>
      </c>
    </row>
    <row r="588" spans="1:9">
      <c r="A588" s="178">
        <v>237</v>
      </c>
      <c r="B588" s="178" t="s">
        <v>658</v>
      </c>
      <c r="C588" s="178">
        <v>0</v>
      </c>
      <c r="D588" s="178">
        <v>-4148643.25</v>
      </c>
      <c r="E588" s="178">
        <v>-4148643.25</v>
      </c>
      <c r="F588">
        <v>0</v>
      </c>
      <c r="G588" t="s">
        <v>497</v>
      </c>
    </row>
    <row r="589" spans="1:9">
      <c r="A589" s="178">
        <v>240</v>
      </c>
      <c r="B589" s="178" t="s">
        <v>659</v>
      </c>
      <c r="C589" s="178">
        <v>0</v>
      </c>
      <c r="D589" s="178">
        <v>0</v>
      </c>
      <c r="E589" s="178">
        <v>0</v>
      </c>
      <c r="F589">
        <v>0</v>
      </c>
      <c r="G589" t="s">
        <v>497</v>
      </c>
    </row>
    <row r="590" spans="1:9">
      <c r="A590" s="178">
        <v>250</v>
      </c>
      <c r="B590" s="178" t="s">
        <v>268</v>
      </c>
      <c r="C590" s="178">
        <v>0</v>
      </c>
      <c r="D590" s="178">
        <v>-790926.23</v>
      </c>
      <c r="E590" s="178">
        <v>-790926.23</v>
      </c>
      <c r="F590">
        <v>0</v>
      </c>
      <c r="G590" t="s">
        <v>497</v>
      </c>
    </row>
    <row r="591" spans="1:9">
      <c r="A591" s="178">
        <v>260</v>
      </c>
      <c r="B591" s="178" t="s">
        <v>630</v>
      </c>
      <c r="C591" s="178">
        <v>0</v>
      </c>
      <c r="D591" s="178">
        <v>0</v>
      </c>
      <c r="E591" s="178">
        <v>0</v>
      </c>
      <c r="F591">
        <v>0</v>
      </c>
      <c r="G591" t="s">
        <v>497</v>
      </c>
    </row>
    <row r="592" spans="1:9">
      <c r="A592" s="178">
        <v>270</v>
      </c>
      <c r="B592" s="178" t="s">
        <v>269</v>
      </c>
      <c r="C592" s="178">
        <v>0</v>
      </c>
      <c r="D592" s="178">
        <v>0</v>
      </c>
      <c r="E592" s="178">
        <v>0</v>
      </c>
      <c r="F592">
        <v>0</v>
      </c>
      <c r="G592" t="s">
        <v>497</v>
      </c>
    </row>
    <row r="593" spans="1:9">
      <c r="A593" s="178">
        <v>300</v>
      </c>
      <c r="B593" s="178" t="s">
        <v>270</v>
      </c>
      <c r="C593" s="178">
        <v>0</v>
      </c>
      <c r="D593" s="178">
        <v>790926.23</v>
      </c>
      <c r="E593" s="178">
        <v>790926.23</v>
      </c>
      <c r="F593">
        <v>0</v>
      </c>
      <c r="G593" t="s">
        <v>497</v>
      </c>
    </row>
    <row r="594" spans="1:9">
      <c r="A594" s="178">
        <v>310</v>
      </c>
      <c r="B594" s="178" t="s">
        <v>631</v>
      </c>
      <c r="C594" s="178">
        <v>0</v>
      </c>
      <c r="D594" s="178">
        <v>0</v>
      </c>
      <c r="E594" s="178">
        <v>0</v>
      </c>
      <c r="F594">
        <v>0</v>
      </c>
      <c r="G594" t="s">
        <v>497</v>
      </c>
    </row>
    <row r="595" spans="1:9">
      <c r="A595" s="178">
        <v>320</v>
      </c>
      <c r="B595" s="178" t="s">
        <v>271</v>
      </c>
      <c r="C595" s="178">
        <v>3700</v>
      </c>
      <c r="D595" s="178">
        <v>0</v>
      </c>
      <c r="E595" s="178">
        <v>3700</v>
      </c>
      <c r="F595">
        <v>3700</v>
      </c>
      <c r="G595" t="s">
        <v>497</v>
      </c>
    </row>
    <row r="596" spans="1:9">
      <c r="A596" s="178">
        <v>325</v>
      </c>
      <c r="B596" s="178" t="s">
        <v>272</v>
      </c>
      <c r="C596" s="178">
        <v>0</v>
      </c>
      <c r="D596" s="178">
        <v>0</v>
      </c>
      <c r="E596" s="178">
        <v>0</v>
      </c>
      <c r="F596">
        <v>0</v>
      </c>
      <c r="G596" t="s">
        <v>497</v>
      </c>
    </row>
    <row r="597" spans="1:9">
      <c r="A597" s="178">
        <v>330</v>
      </c>
      <c r="B597" s="178" t="s">
        <v>632</v>
      </c>
      <c r="C597" s="178">
        <v>0</v>
      </c>
      <c r="D597" s="178">
        <v>0</v>
      </c>
      <c r="E597" s="178">
        <v>0</v>
      </c>
      <c r="F597">
        <v>0</v>
      </c>
      <c r="G597" t="s">
        <v>497</v>
      </c>
    </row>
    <row r="598" spans="1:9">
      <c r="A598" s="178">
        <v>340</v>
      </c>
      <c r="B598" s="178" t="s">
        <v>633</v>
      </c>
      <c r="C598" s="178">
        <v>0</v>
      </c>
      <c r="D598" s="178">
        <v>0</v>
      </c>
      <c r="E598" s="178">
        <v>0</v>
      </c>
      <c r="F598">
        <v>0</v>
      </c>
      <c r="G598" t="s">
        <v>497</v>
      </c>
    </row>
    <row r="599" spans="1:9">
      <c r="A599" s="178">
        <v>350</v>
      </c>
      <c r="B599" s="178" t="s">
        <v>660</v>
      </c>
      <c r="C599" s="178">
        <v>0</v>
      </c>
      <c r="D599" s="178">
        <v>0</v>
      </c>
      <c r="E599" s="178">
        <v>0</v>
      </c>
      <c r="F599">
        <v>0</v>
      </c>
      <c r="G599" t="s">
        <v>497</v>
      </c>
    </row>
    <row r="600" spans="1:9">
      <c r="A600" s="178">
        <v>380</v>
      </c>
      <c r="B600" s="178" t="s">
        <v>661</v>
      </c>
      <c r="C600" s="178">
        <v>3700</v>
      </c>
      <c r="D600" s="178">
        <v>-4400716.17</v>
      </c>
      <c r="E600" s="178">
        <v>-4397016.17</v>
      </c>
      <c r="F600">
        <v>3700</v>
      </c>
      <c r="G600" t="s">
        <v>497</v>
      </c>
    </row>
    <row r="601" spans="1:9">
      <c r="A601" s="178">
        <v>390</v>
      </c>
      <c r="B601" s="178" t="s">
        <v>273</v>
      </c>
      <c r="C601" s="178">
        <v>0</v>
      </c>
      <c r="D601" s="178">
        <v>0</v>
      </c>
      <c r="E601" s="178">
        <v>0</v>
      </c>
      <c r="F601">
        <v>0</v>
      </c>
      <c r="G601" t="s">
        <v>497</v>
      </c>
    </row>
    <row r="602" spans="1:9">
      <c r="A602" s="178">
        <v>400</v>
      </c>
      <c r="B602" s="178" t="s">
        <v>678</v>
      </c>
      <c r="C602" s="178">
        <v>0</v>
      </c>
      <c r="D602" s="178">
        <v>0</v>
      </c>
      <c r="E602" s="178">
        <v>0</v>
      </c>
      <c r="F602">
        <v>0</v>
      </c>
      <c r="G602" t="s">
        <v>497</v>
      </c>
    </row>
    <row r="603" spans="1:9">
      <c r="A603" s="178">
        <v>405</v>
      </c>
      <c r="B603" s="178" t="s">
        <v>275</v>
      </c>
      <c r="C603" s="178">
        <v>0</v>
      </c>
      <c r="D603" s="178">
        <v>0</v>
      </c>
      <c r="E603" s="178">
        <v>0</v>
      </c>
      <c r="F603">
        <v>0</v>
      </c>
      <c r="G603" t="s">
        <v>497</v>
      </c>
    </row>
    <row r="604" spans="1:9">
      <c r="A604" s="178">
        <v>410</v>
      </c>
      <c r="B604" s="178" t="s">
        <v>276</v>
      </c>
      <c r="C604" s="178">
        <v>0</v>
      </c>
      <c r="D604" s="178">
        <v>4550000</v>
      </c>
      <c r="E604" s="178">
        <v>4550000</v>
      </c>
      <c r="F604">
        <v>0</v>
      </c>
      <c r="G604" t="s">
        <v>497</v>
      </c>
    </row>
    <row r="605" spans="1:9">
      <c r="A605" s="178">
        <v>420</v>
      </c>
      <c r="B605" s="178" t="s">
        <v>662</v>
      </c>
      <c r="C605" s="178">
        <v>0</v>
      </c>
      <c r="D605" s="178">
        <v>0</v>
      </c>
      <c r="E605" s="178">
        <v>0</v>
      </c>
      <c r="F605">
        <v>0</v>
      </c>
      <c r="G605" t="s">
        <v>497</v>
      </c>
    </row>
    <row r="606" spans="1:9">
      <c r="A606" s="178">
        <v>425</v>
      </c>
      <c r="B606" s="178" t="s">
        <v>635</v>
      </c>
      <c r="C606" s="178">
        <v>0</v>
      </c>
      <c r="D606" s="178">
        <v>0</v>
      </c>
      <c r="E606" s="178">
        <v>0</v>
      </c>
      <c r="F606">
        <v>0</v>
      </c>
      <c r="G606" t="s">
        <v>497</v>
      </c>
    </row>
    <row r="607" spans="1:9">
      <c r="A607" s="178">
        <v>427</v>
      </c>
      <c r="B607" s="178" t="s">
        <v>679</v>
      </c>
      <c r="C607" s="178">
        <v>0</v>
      </c>
      <c r="D607" s="178">
        <v>0</v>
      </c>
      <c r="E607" s="178">
        <v>0</v>
      </c>
      <c r="F607">
        <v>0</v>
      </c>
      <c r="G607" t="s">
        <v>497</v>
      </c>
    </row>
    <row r="608" spans="1:9">
      <c r="A608" s="178">
        <v>430</v>
      </c>
      <c r="B608" s="178" t="s">
        <v>279</v>
      </c>
      <c r="C608" s="178">
        <v>0</v>
      </c>
      <c r="D608" s="178">
        <v>-143370.87</v>
      </c>
      <c r="E608" s="178">
        <v>-143370.87</v>
      </c>
      <c r="F608">
        <v>0</v>
      </c>
      <c r="G608" t="s">
        <v>497</v>
      </c>
    </row>
    <row r="609" spans="1:9">
      <c r="A609" s="178">
        <v>440</v>
      </c>
      <c r="B609" s="178" t="s">
        <v>280</v>
      </c>
      <c r="C609" s="178">
        <v>0</v>
      </c>
      <c r="D609" s="178">
        <v>4406629.13</v>
      </c>
      <c r="E609" s="178">
        <v>4406629.13</v>
      </c>
      <c r="F609">
        <v>0</v>
      </c>
      <c r="G609" t="s">
        <v>497</v>
      </c>
    </row>
    <row r="610" spans="1:9">
      <c r="A610" s="178">
        <v>450</v>
      </c>
      <c r="B610" s="178" t="s">
        <v>281</v>
      </c>
      <c r="C610" s="178">
        <v>0</v>
      </c>
      <c r="D610" s="178">
        <v>0</v>
      </c>
      <c r="E610" s="178">
        <v>0</v>
      </c>
      <c r="F610">
        <v>0</v>
      </c>
      <c r="G610" t="s">
        <v>497</v>
      </c>
    </row>
    <row r="611" spans="1:9">
      <c r="A611" s="178">
        <v>455</v>
      </c>
      <c r="B611" s="178" t="s">
        <v>664</v>
      </c>
      <c r="C611" s="178">
        <v>0</v>
      </c>
      <c r="D611" s="178">
        <v>0</v>
      </c>
      <c r="E611" s="178">
        <v>0</v>
      </c>
      <c r="F611">
        <v>0</v>
      </c>
      <c r="G611" t="s">
        <v>497</v>
      </c>
    </row>
    <row r="612" spans="1:9">
      <c r="A612" s="178">
        <v>456</v>
      </c>
      <c r="B612" s="178" t="s">
        <v>637</v>
      </c>
      <c r="C612" s="178">
        <v>0</v>
      </c>
      <c r="D612" s="178">
        <v>0</v>
      </c>
      <c r="E612" s="178">
        <v>0</v>
      </c>
      <c r="F612">
        <v>0</v>
      </c>
      <c r="G612" t="s">
        <v>497</v>
      </c>
    </row>
    <row r="613" spans="1:9">
      <c r="A613" s="178">
        <v>460</v>
      </c>
      <c r="B613" s="178" t="s">
        <v>283</v>
      </c>
      <c r="C613" s="178">
        <v>0</v>
      </c>
      <c r="D613" s="178">
        <v>0</v>
      </c>
      <c r="E613" s="178">
        <v>0</v>
      </c>
      <c r="F613">
        <v>0</v>
      </c>
      <c r="G613" t="s">
        <v>497</v>
      </c>
    </row>
    <row r="614" spans="1:9">
      <c r="A614" s="178">
        <v>470</v>
      </c>
      <c r="B614" s="178" t="s">
        <v>665</v>
      </c>
      <c r="C614" s="178">
        <v>0</v>
      </c>
      <c r="D614" s="178">
        <v>0</v>
      </c>
      <c r="E614" s="178">
        <v>0</v>
      </c>
      <c r="F614">
        <v>0</v>
      </c>
      <c r="G614" t="s">
        <v>497</v>
      </c>
    </row>
    <row r="615" spans="1:9">
      <c r="A615" s="178">
        <v>480</v>
      </c>
      <c r="B615" s="178" t="s">
        <v>284</v>
      </c>
      <c r="C615" s="178">
        <v>0</v>
      </c>
      <c r="D615" s="178">
        <v>0</v>
      </c>
      <c r="E615" s="178">
        <v>0</v>
      </c>
      <c r="F615">
        <v>0</v>
      </c>
      <c r="G615" t="s">
        <v>497</v>
      </c>
    </row>
    <row r="616" spans="1:9">
      <c r="A616" s="178">
        <v>490</v>
      </c>
      <c r="B616" s="178" t="s">
        <v>666</v>
      </c>
      <c r="C616" s="178">
        <v>0</v>
      </c>
      <c r="D616" s="178">
        <v>0</v>
      </c>
      <c r="E616" s="178">
        <v>0</v>
      </c>
      <c r="F616">
        <v>0</v>
      </c>
      <c r="G616" t="s">
        <v>497</v>
      </c>
    </row>
    <row r="617" spans="1:9">
      <c r="A617" s="178">
        <v>500</v>
      </c>
      <c r="B617" s="178" t="s">
        <v>285</v>
      </c>
      <c r="C617" s="178">
        <v>0</v>
      </c>
      <c r="D617" s="178">
        <v>-1</v>
      </c>
      <c r="E617" s="178">
        <v>-1</v>
      </c>
      <c r="F617">
        <v>0</v>
      </c>
      <c r="G617" t="s">
        <v>497</v>
      </c>
    </row>
    <row r="618" spans="1:9">
      <c r="A618" s="178">
        <v>510</v>
      </c>
      <c r="B618" s="178" t="s">
        <v>640</v>
      </c>
      <c r="C618" s="178">
        <v>0</v>
      </c>
      <c r="D618" s="178">
        <v>0</v>
      </c>
      <c r="E618" s="178">
        <v>0</v>
      </c>
      <c r="F618">
        <v>0</v>
      </c>
      <c r="G618" t="s">
        <v>497</v>
      </c>
    </row>
    <row r="619" spans="1:9">
      <c r="A619" s="178">
        <v>512</v>
      </c>
      <c r="B619" s="178" t="s">
        <v>667</v>
      </c>
      <c r="C619" s="178">
        <v>0</v>
      </c>
      <c r="D619" s="178">
        <v>-1</v>
      </c>
      <c r="E619" s="178">
        <v>-1</v>
      </c>
      <c r="F619">
        <v>0</v>
      </c>
      <c r="G619" t="s">
        <v>497</v>
      </c>
    </row>
    <row r="620" spans="1:9">
      <c r="A620" s="178">
        <v>514</v>
      </c>
      <c r="B620" s="178" t="s">
        <v>641</v>
      </c>
      <c r="C620" s="178">
        <v>0</v>
      </c>
      <c r="D620" s="178">
        <v>0</v>
      </c>
      <c r="E620" s="178">
        <v>0</v>
      </c>
      <c r="F620">
        <v>0</v>
      </c>
      <c r="G620" t="s">
        <v>497</v>
      </c>
    </row>
    <row r="621" spans="1:9">
      <c r="A621" s="178">
        <v>520</v>
      </c>
      <c r="B621" s="178" t="s">
        <v>668</v>
      </c>
      <c r="C621" s="178">
        <v>0</v>
      </c>
      <c r="D621" s="178">
        <v>0</v>
      </c>
      <c r="E621" s="178">
        <v>0</v>
      </c>
      <c r="F621">
        <v>0</v>
      </c>
      <c r="G621" t="s">
        <v>497</v>
      </c>
    </row>
    <row r="622" spans="1:9">
      <c r="A622" s="178">
        <v>530</v>
      </c>
      <c r="B622" s="178" t="s">
        <v>643</v>
      </c>
      <c r="C622" s="178">
        <v>0</v>
      </c>
      <c r="D622" s="178">
        <v>0</v>
      </c>
      <c r="E622" s="178">
        <v>0</v>
      </c>
      <c r="F622">
        <v>0</v>
      </c>
      <c r="G622" t="s">
        <v>497</v>
      </c>
    </row>
    <row r="623" spans="1:9">
      <c r="A623" s="178">
        <v>540</v>
      </c>
      <c r="B623" s="178" t="s">
        <v>644</v>
      </c>
      <c r="C623" s="178">
        <v>0</v>
      </c>
      <c r="D623" s="178">
        <v>0</v>
      </c>
      <c r="E623" s="178">
        <v>0</v>
      </c>
      <c r="F623">
        <v>0</v>
      </c>
      <c r="G623" t="s">
        <v>497</v>
      </c>
    </row>
    <row r="624" spans="1:9">
      <c r="A624" s="178">
        <v>550</v>
      </c>
      <c r="B624" s="178" t="s">
        <v>645</v>
      </c>
      <c r="C624" s="178">
        <v>0</v>
      </c>
      <c r="D624" s="178">
        <v>0</v>
      </c>
      <c r="E624" s="178">
        <v>0</v>
      </c>
      <c r="F624">
        <v>0</v>
      </c>
      <c r="G624" t="s">
        <v>497</v>
      </c>
    </row>
    <row r="625" spans="1:9">
      <c r="A625" s="178">
        <v>560</v>
      </c>
      <c r="B625" s="178" t="s">
        <v>646</v>
      </c>
      <c r="C625" s="178">
        <v>0</v>
      </c>
      <c r="D625" s="178">
        <v>0</v>
      </c>
      <c r="E625" s="178">
        <v>0</v>
      </c>
      <c r="F625">
        <v>0</v>
      </c>
      <c r="G625" t="s">
        <v>497</v>
      </c>
    </row>
    <row r="626" spans="1:9">
      <c r="A626" s="178">
        <v>570</v>
      </c>
      <c r="B626" s="178" t="s">
        <v>647</v>
      </c>
      <c r="C626" s="178">
        <v>0</v>
      </c>
      <c r="D626" s="178">
        <v>0</v>
      </c>
      <c r="E626" s="178">
        <v>0</v>
      </c>
      <c r="F626">
        <v>0</v>
      </c>
      <c r="G626" t="s">
        <v>497</v>
      </c>
    </row>
    <row r="627" spans="1:9">
      <c r="A627" s="178">
        <v>580</v>
      </c>
      <c r="B627" s="178" t="s">
        <v>680</v>
      </c>
      <c r="C627" s="178">
        <v>0</v>
      </c>
      <c r="D627" s="178">
        <v>0</v>
      </c>
      <c r="E627" s="178">
        <v>0</v>
      </c>
      <c r="F627">
        <v>0</v>
      </c>
      <c r="G627" t="s">
        <v>497</v>
      </c>
    </row>
    <row r="628" spans="1:9">
      <c r="A628" s="178">
        <v>590</v>
      </c>
      <c r="B628" s="178" t="s">
        <v>671</v>
      </c>
      <c r="C628" s="178">
        <v>0</v>
      </c>
      <c r="D628" s="178">
        <v>0</v>
      </c>
      <c r="E628" s="178">
        <v>0</v>
      </c>
      <c r="F628">
        <v>0</v>
      </c>
      <c r="G628" t="s">
        <v>497</v>
      </c>
    </row>
    <row r="629" spans="1:9">
      <c r="A629" s="178">
        <v>600</v>
      </c>
      <c r="B629" s="178" t="s">
        <v>291</v>
      </c>
      <c r="C629" s="178">
        <v>0</v>
      </c>
      <c r="D629" s="178">
        <v>0</v>
      </c>
      <c r="E629" s="178">
        <v>0</v>
      </c>
      <c r="F629">
        <v>0</v>
      </c>
      <c r="G629" t="s">
        <v>497</v>
      </c>
    </row>
    <row r="630" spans="1:9">
      <c r="A630" s="178">
        <v>610</v>
      </c>
      <c r="B630" s="178" t="s">
        <v>673</v>
      </c>
      <c r="C630" s="178">
        <v>0</v>
      </c>
      <c r="D630" s="178">
        <v>0</v>
      </c>
      <c r="E630" s="178">
        <v>0</v>
      </c>
      <c r="F630">
        <v>0</v>
      </c>
      <c r="G630" t="s">
        <v>497</v>
      </c>
    </row>
    <row r="631" spans="1:9">
      <c r="A631" s="178">
        <v>615</v>
      </c>
      <c r="B631" s="178" t="s">
        <v>674</v>
      </c>
      <c r="C631" s="178">
        <v>0</v>
      </c>
      <c r="D631" s="178">
        <v>0</v>
      </c>
      <c r="E631" s="178">
        <v>0</v>
      </c>
      <c r="F631">
        <v>0</v>
      </c>
      <c r="G631" t="s">
        <v>497</v>
      </c>
    </row>
    <row r="632" spans="1:9">
      <c r="A632" s="178">
        <v>620</v>
      </c>
      <c r="B632" s="178" t="s">
        <v>292</v>
      </c>
      <c r="C632" s="178">
        <v>0</v>
      </c>
      <c r="D632" s="178">
        <v>0</v>
      </c>
      <c r="E632" s="178">
        <v>0</v>
      </c>
      <c r="F632">
        <v>0</v>
      </c>
      <c r="G632" t="s">
        <v>497</v>
      </c>
    </row>
    <row r="633" spans="1:9">
      <c r="A633" s="178">
        <v>630</v>
      </c>
      <c r="B633" s="178" t="s">
        <v>293</v>
      </c>
      <c r="C633" s="178">
        <v>0</v>
      </c>
      <c r="D633" s="178">
        <v>0</v>
      </c>
      <c r="E633" s="178">
        <v>0</v>
      </c>
      <c r="F633">
        <v>0</v>
      </c>
      <c r="G633" t="s">
        <v>497</v>
      </c>
    </row>
    <row r="634" spans="1:9">
      <c r="A634" s="178">
        <v>635</v>
      </c>
      <c r="B634" s="178" t="s">
        <v>675</v>
      </c>
      <c r="C634" s="178">
        <v>0</v>
      </c>
      <c r="D634" s="178">
        <v>0</v>
      </c>
      <c r="E634" s="178">
        <v>0</v>
      </c>
      <c r="F634">
        <v>0</v>
      </c>
      <c r="G634" t="s">
        <v>497</v>
      </c>
    </row>
    <row r="635" spans="1:9">
      <c r="A635" s="178">
        <v>640</v>
      </c>
      <c r="B635" s="178" t="s">
        <v>294</v>
      </c>
      <c r="C635" s="178">
        <v>0</v>
      </c>
      <c r="D635" s="178">
        <v>-2</v>
      </c>
      <c r="E635" s="178">
        <v>-2</v>
      </c>
      <c r="F635">
        <v>0</v>
      </c>
      <c r="G635" t="s">
        <v>497</v>
      </c>
    </row>
    <row r="636" spans="1:9">
      <c r="A636" s="178">
        <v>650</v>
      </c>
      <c r="B636" s="178" t="s">
        <v>295</v>
      </c>
      <c r="C636" s="178">
        <v>2725</v>
      </c>
      <c r="D636" s="178">
        <v>5910.96</v>
      </c>
      <c r="E636" s="178">
        <v>8635.96</v>
      </c>
      <c r="F636">
        <v>2725</v>
      </c>
      <c r="G636" t="s">
        <v>497</v>
      </c>
    </row>
    <row r="637" spans="1:9">
      <c r="A637" s="178" t="s">
        <v>442</v>
      </c>
      <c r="B637" s="178" t="s">
        <v>402</v>
      </c>
      <c r="C637" s="178" t="s">
        <v>651</v>
      </c>
      <c r="D637" s="178" t="s">
        <v>652</v>
      </c>
      <c r="E637" s="178" t="s">
        <v>653</v>
      </c>
      <c r="F637" t="s">
        <v>654</v>
      </c>
      <c r="G637" t="s">
        <v>405</v>
      </c>
    </row>
    <row r="638" spans="1:9">
      <c r="A638" s="178">
        <v>30</v>
      </c>
      <c r="B638" s="178" t="s">
        <v>406</v>
      </c>
      <c r="C638" s="178">
        <v>0</v>
      </c>
      <c r="D638" s="178">
        <v>0</v>
      </c>
      <c r="E638" s="178">
        <v>0</v>
      </c>
      <c r="F638">
        <v>0</v>
      </c>
      <c r="G638" t="s">
        <v>497</v>
      </c>
    </row>
    <row r="639" spans="1:9">
      <c r="A639" s="178">
        <v>40</v>
      </c>
      <c r="B639" s="178" t="s">
        <v>655</v>
      </c>
      <c r="C639" s="178">
        <v>0</v>
      </c>
      <c r="D639" s="178">
        <v>0</v>
      </c>
      <c r="E639" s="178">
        <v>0</v>
      </c>
      <c r="F639">
        <v>0</v>
      </c>
      <c r="G639" t="s">
        <v>497</v>
      </c>
    </row>
    <row r="640" spans="1:9">
      <c r="A640" s="178">
        <v>50</v>
      </c>
      <c r="B640" s="178" t="s">
        <v>409</v>
      </c>
      <c r="C640" s="178">
        <v>0</v>
      </c>
      <c r="D640" s="178">
        <v>0</v>
      </c>
      <c r="E640" s="178">
        <v>0</v>
      </c>
      <c r="F640">
        <v>0</v>
      </c>
      <c r="G640" t="s">
        <v>497</v>
      </c>
    </row>
    <row r="641" spans="1:9">
      <c r="A641" s="178">
        <v>60</v>
      </c>
      <c r="B641" s="178" t="s">
        <v>656</v>
      </c>
      <c r="C641" s="178">
        <v>0</v>
      </c>
      <c r="D641" s="178">
        <v>0</v>
      </c>
      <c r="E641" s="178">
        <v>0</v>
      </c>
      <c r="F641">
        <v>0</v>
      </c>
      <c r="G641" t="s">
        <v>497</v>
      </c>
    </row>
    <row r="642" spans="1:9">
      <c r="A642" s="178">
        <v>70</v>
      </c>
      <c r="B642" s="178" t="s">
        <v>618</v>
      </c>
      <c r="C642" s="178">
        <v>0</v>
      </c>
      <c r="D642" s="178">
        <v>0</v>
      </c>
      <c r="E642" s="178">
        <v>0</v>
      </c>
      <c r="F642">
        <v>0</v>
      </c>
      <c r="G642" t="s">
        <v>497</v>
      </c>
    </row>
    <row r="643" spans="1:9">
      <c r="A643" s="178">
        <v>80</v>
      </c>
      <c r="B643" s="178" t="s">
        <v>412</v>
      </c>
      <c r="C643" s="178">
        <v>0</v>
      </c>
      <c r="D643" s="178">
        <v>0</v>
      </c>
      <c r="E643" s="178">
        <v>0</v>
      </c>
      <c r="F643">
        <v>0</v>
      </c>
      <c r="G643" t="s">
        <v>497</v>
      </c>
    </row>
    <row r="644" spans="1:9">
      <c r="A644" s="178">
        <v>90</v>
      </c>
      <c r="B644" s="178" t="s">
        <v>413</v>
      </c>
      <c r="C644" s="178">
        <v>1253</v>
      </c>
      <c r="D644" s="178">
        <v>0</v>
      </c>
      <c r="E644" s="178">
        <v>1253</v>
      </c>
      <c r="F644">
        <v>1253</v>
      </c>
      <c r="G644" t="s">
        <v>497</v>
      </c>
    </row>
    <row r="645" spans="1:9">
      <c r="A645" s="178">
        <v>100</v>
      </c>
      <c r="B645" s="178" t="s">
        <v>414</v>
      </c>
      <c r="C645" s="178">
        <v>0</v>
      </c>
      <c r="D645" s="178">
        <v>0</v>
      </c>
      <c r="E645" s="178">
        <v>0</v>
      </c>
      <c r="F645">
        <v>0</v>
      </c>
      <c r="G645" t="s">
        <v>497</v>
      </c>
    </row>
    <row r="646" spans="1:9">
      <c r="A646" s="178">
        <v>120</v>
      </c>
      <c r="B646" s="178" t="s">
        <v>416</v>
      </c>
      <c r="C646" s="178">
        <v>-1253</v>
      </c>
      <c r="D646" s="178">
        <v>0</v>
      </c>
      <c r="E646" s="178">
        <v>-1253</v>
      </c>
      <c r="F646">
        <v>-1253</v>
      </c>
      <c r="G646" t="s">
        <v>497</v>
      </c>
    </row>
    <row r="647" spans="1:9">
      <c r="A647" s="178">
        <v>130</v>
      </c>
      <c r="B647" s="178" t="s">
        <v>621</v>
      </c>
      <c r="C647" s="178">
        <v>0</v>
      </c>
      <c r="D647" s="178">
        <v>0</v>
      </c>
      <c r="E647" s="178">
        <v>0</v>
      </c>
      <c r="F647">
        <v>0</v>
      </c>
      <c r="G647" t="s">
        <v>497</v>
      </c>
    </row>
    <row r="648" spans="1:9">
      <c r="A648" s="178">
        <v>135</v>
      </c>
      <c r="B648" s="178" t="s">
        <v>657</v>
      </c>
      <c r="C648" s="178">
        <v>0</v>
      </c>
      <c r="D648" s="178">
        <v>0</v>
      </c>
      <c r="E648" s="178">
        <v>0</v>
      </c>
      <c r="F648">
        <v>0</v>
      </c>
      <c r="G648" t="s">
        <v>497</v>
      </c>
    </row>
    <row r="649" spans="1:9">
      <c r="A649" s="178">
        <v>140</v>
      </c>
      <c r="B649" s="178" t="s">
        <v>419</v>
      </c>
      <c r="C649" s="178">
        <v>0</v>
      </c>
      <c r="D649" s="178">
        <v>0</v>
      </c>
      <c r="E649" s="178">
        <v>0</v>
      </c>
      <c r="F649">
        <v>0</v>
      </c>
      <c r="G649" t="s">
        <v>497</v>
      </c>
    </row>
    <row r="650" spans="1:9">
      <c r="A650" s="178">
        <v>150</v>
      </c>
      <c r="B650" s="178" t="s">
        <v>420</v>
      </c>
      <c r="C650" s="178">
        <v>0</v>
      </c>
      <c r="D650" s="178">
        <v>0</v>
      </c>
      <c r="E650" s="178">
        <v>0</v>
      </c>
      <c r="F650">
        <v>0</v>
      </c>
      <c r="G650" t="s">
        <v>497</v>
      </c>
    </row>
    <row r="651" spans="1:9">
      <c r="A651" s="178">
        <v>160</v>
      </c>
      <c r="B651" s="178" t="s">
        <v>422</v>
      </c>
      <c r="C651" s="178">
        <v>0</v>
      </c>
      <c r="D651" s="178">
        <v>0</v>
      </c>
      <c r="E651" s="178">
        <v>0</v>
      </c>
      <c r="F651">
        <v>0</v>
      </c>
      <c r="G651" t="s">
        <v>497</v>
      </c>
    </row>
    <row r="652" spans="1:9">
      <c r="A652" s="178">
        <v>170</v>
      </c>
      <c r="B652" s="178" t="s">
        <v>423</v>
      </c>
      <c r="C652" s="178">
        <v>-1253</v>
      </c>
      <c r="D652" s="178">
        <v>0</v>
      </c>
      <c r="E652" s="178">
        <v>-1253</v>
      </c>
      <c r="F652">
        <v>-1253</v>
      </c>
      <c r="G652" t="s">
        <v>497</v>
      </c>
    </row>
    <row r="653" spans="1:9">
      <c r="A653" s="178">
        <v>180</v>
      </c>
      <c r="B653" s="178" t="s">
        <v>626</v>
      </c>
      <c r="C653" s="178">
        <v>0</v>
      </c>
      <c r="D653" s="178">
        <v>0</v>
      </c>
      <c r="E653" s="178">
        <v>0</v>
      </c>
      <c r="F653">
        <v>0</v>
      </c>
      <c r="G653" t="s">
        <v>497</v>
      </c>
    </row>
    <row r="654" spans="1:9">
      <c r="A654" s="178">
        <v>200</v>
      </c>
      <c r="B654" s="178" t="s">
        <v>426</v>
      </c>
      <c r="C654" s="178">
        <v>-1253</v>
      </c>
      <c r="D654" s="178">
        <v>0</v>
      </c>
      <c r="E654" s="178">
        <v>-1253</v>
      </c>
      <c r="F654">
        <v>-1253</v>
      </c>
      <c r="G654" t="s">
        <v>497</v>
      </c>
    </row>
    <row r="655" spans="1:9">
      <c r="A655" s="178">
        <v>220</v>
      </c>
      <c r="B655" s="178" t="s">
        <v>628</v>
      </c>
      <c r="C655" s="178">
        <v>0</v>
      </c>
      <c r="D655" s="178">
        <v>0</v>
      </c>
      <c r="E655" s="178">
        <v>0</v>
      </c>
      <c r="F655">
        <v>0</v>
      </c>
      <c r="G655" t="s">
        <v>497</v>
      </c>
    </row>
    <row r="656" spans="1:9">
      <c r="A656" s="178">
        <v>230</v>
      </c>
      <c r="B656" s="178" t="s">
        <v>266</v>
      </c>
      <c r="C656" s="178">
        <v>0</v>
      </c>
      <c r="D656" s="178">
        <v>0</v>
      </c>
      <c r="E656" s="178">
        <v>0</v>
      </c>
      <c r="F656">
        <v>0</v>
      </c>
      <c r="G656" t="s">
        <v>497</v>
      </c>
    </row>
    <row r="657" spans="1:9">
      <c r="A657" s="178">
        <v>235</v>
      </c>
      <c r="B657" s="178" t="s">
        <v>629</v>
      </c>
      <c r="C657" s="178">
        <v>0</v>
      </c>
      <c r="D657" s="178">
        <v>0</v>
      </c>
      <c r="E657" s="178">
        <v>0</v>
      </c>
      <c r="F657">
        <v>0</v>
      </c>
      <c r="G657" t="s">
        <v>497</v>
      </c>
    </row>
    <row r="658" spans="1:9">
      <c r="A658" s="178">
        <v>237</v>
      </c>
      <c r="B658" s="178" t="s">
        <v>658</v>
      </c>
      <c r="C658" s="178">
        <v>0</v>
      </c>
      <c r="D658" s="178">
        <v>0</v>
      </c>
      <c r="E658" s="178">
        <v>0</v>
      </c>
      <c r="F658">
        <v>0</v>
      </c>
      <c r="G658" t="s">
        <v>497</v>
      </c>
    </row>
    <row r="659" spans="1:9">
      <c r="A659" s="178">
        <v>240</v>
      </c>
      <c r="B659" s="178" t="s">
        <v>659</v>
      </c>
      <c r="C659" s="178">
        <v>0</v>
      </c>
      <c r="D659" s="178">
        <v>0</v>
      </c>
      <c r="E659" s="178">
        <v>0</v>
      </c>
      <c r="F659">
        <v>0</v>
      </c>
      <c r="G659" t="s">
        <v>497</v>
      </c>
    </row>
    <row r="660" spans="1:9">
      <c r="A660" s="178">
        <v>250</v>
      </c>
      <c r="B660" s="178" t="s">
        <v>268</v>
      </c>
      <c r="C660" s="178">
        <v>0</v>
      </c>
      <c r="D660" s="178">
        <v>0</v>
      </c>
      <c r="E660" s="178">
        <v>0</v>
      </c>
      <c r="F660">
        <v>0</v>
      </c>
      <c r="G660" t="s">
        <v>497</v>
      </c>
    </row>
    <row r="661" spans="1:9">
      <c r="A661" s="178">
        <v>260</v>
      </c>
      <c r="B661" s="178" t="s">
        <v>630</v>
      </c>
      <c r="C661" s="178">
        <v>-200.48</v>
      </c>
      <c r="D661" s="178">
        <v>0</v>
      </c>
      <c r="E661" s="178">
        <v>-200.48</v>
      </c>
      <c r="F661">
        <v>-200.48</v>
      </c>
      <c r="G661" t="s">
        <v>497</v>
      </c>
    </row>
    <row r="662" spans="1:9">
      <c r="A662" s="178">
        <v>270</v>
      </c>
      <c r="B662" s="178" t="s">
        <v>269</v>
      </c>
      <c r="C662" s="178">
        <v>0</v>
      </c>
      <c r="D662" s="178">
        <v>-289660.85</v>
      </c>
      <c r="E662" s="178">
        <v>-289660.85</v>
      </c>
      <c r="F662">
        <v>0</v>
      </c>
      <c r="G662" t="s">
        <v>497</v>
      </c>
    </row>
    <row r="663" spans="1:9">
      <c r="A663" s="178">
        <v>300</v>
      </c>
      <c r="B663" s="178" t="s">
        <v>270</v>
      </c>
      <c r="C663" s="178">
        <v>0</v>
      </c>
      <c r="D663" s="178">
        <v>480155.07</v>
      </c>
      <c r="E663" s="178">
        <v>480155.07</v>
      </c>
      <c r="F663">
        <v>0</v>
      </c>
      <c r="G663" t="s">
        <v>497</v>
      </c>
    </row>
    <row r="664" spans="1:9">
      <c r="A664" s="178">
        <v>310</v>
      </c>
      <c r="B664" s="178" t="s">
        <v>631</v>
      </c>
      <c r="C664" s="178">
        <v>0</v>
      </c>
      <c r="D664" s="178">
        <v>0</v>
      </c>
      <c r="E664" s="178">
        <v>0</v>
      </c>
      <c r="F664">
        <v>0</v>
      </c>
      <c r="G664" t="s">
        <v>497</v>
      </c>
    </row>
    <row r="665" spans="1:9">
      <c r="A665" s="178">
        <v>320</v>
      </c>
      <c r="B665" s="178" t="s">
        <v>271</v>
      </c>
      <c r="C665" s="178">
        <v>0</v>
      </c>
      <c r="D665" s="178">
        <v>0</v>
      </c>
      <c r="E665" s="178">
        <v>0</v>
      </c>
      <c r="F665">
        <v>0</v>
      </c>
      <c r="G665" t="s">
        <v>497</v>
      </c>
    </row>
    <row r="666" spans="1:9">
      <c r="A666" s="178">
        <v>325</v>
      </c>
      <c r="B666" s="178" t="s">
        <v>272</v>
      </c>
      <c r="C666" s="178">
        <v>0</v>
      </c>
      <c r="D666" s="178">
        <v>-6800.42</v>
      </c>
      <c r="E666" s="178">
        <v>-6800.42</v>
      </c>
      <c r="F666">
        <v>0</v>
      </c>
      <c r="G666" t="s">
        <v>497</v>
      </c>
    </row>
    <row r="667" spans="1:9">
      <c r="A667" s="178">
        <v>330</v>
      </c>
      <c r="B667" s="178" t="s">
        <v>632</v>
      </c>
      <c r="C667" s="178">
        <v>0</v>
      </c>
      <c r="D667" s="178">
        <v>6800.42</v>
      </c>
      <c r="E667" s="178">
        <v>6800.42</v>
      </c>
      <c r="F667">
        <v>0</v>
      </c>
      <c r="G667" t="s">
        <v>497</v>
      </c>
    </row>
    <row r="668" spans="1:9">
      <c r="A668" s="178">
        <v>340</v>
      </c>
      <c r="B668" s="178" t="s">
        <v>633</v>
      </c>
      <c r="C668" s="178">
        <v>0</v>
      </c>
      <c r="D668" s="178">
        <v>0</v>
      </c>
      <c r="E668" s="178">
        <v>0</v>
      </c>
      <c r="F668">
        <v>0</v>
      </c>
      <c r="G668" t="s">
        <v>497</v>
      </c>
    </row>
    <row r="669" spans="1:9">
      <c r="A669" s="178">
        <v>350</v>
      </c>
      <c r="B669" s="178" t="s">
        <v>660</v>
      </c>
      <c r="C669" s="178">
        <v>0</v>
      </c>
      <c r="D669" s="178">
        <v>0</v>
      </c>
      <c r="E669" s="178">
        <v>0</v>
      </c>
      <c r="F669">
        <v>0</v>
      </c>
      <c r="G669" t="s">
        <v>497</v>
      </c>
    </row>
    <row r="670" spans="1:9">
      <c r="A670" s="178">
        <v>380</v>
      </c>
      <c r="B670" s="178" t="s">
        <v>661</v>
      </c>
      <c r="C670" s="178">
        <v>-200.48</v>
      </c>
      <c r="D670" s="178">
        <v>190494.22</v>
      </c>
      <c r="E670" s="178">
        <v>190293.74</v>
      </c>
      <c r="F670">
        <v>-200.48</v>
      </c>
      <c r="G670" t="s">
        <v>497</v>
      </c>
    </row>
    <row r="671" spans="1:9">
      <c r="A671" s="178">
        <v>390</v>
      </c>
      <c r="B671" s="178" t="s">
        <v>273</v>
      </c>
      <c r="C671" s="178">
        <v>0</v>
      </c>
      <c r="D671" s="178">
        <v>0</v>
      </c>
      <c r="E671" s="178">
        <v>0</v>
      </c>
      <c r="F671">
        <v>0</v>
      </c>
      <c r="G671" t="s">
        <v>497</v>
      </c>
    </row>
    <row r="672" spans="1:9">
      <c r="A672" s="178">
        <v>400</v>
      </c>
      <c r="B672" s="178" t="s">
        <v>274</v>
      </c>
      <c r="C672" s="178">
        <v>0</v>
      </c>
      <c r="D672" s="178">
        <v>0</v>
      </c>
      <c r="E672" s="178">
        <v>0</v>
      </c>
      <c r="F672">
        <v>0</v>
      </c>
      <c r="G672" t="s">
        <v>497</v>
      </c>
    </row>
    <row r="673" spans="1:9">
      <c r="A673" s="178">
        <v>405</v>
      </c>
      <c r="B673" s="178" t="s">
        <v>275</v>
      </c>
      <c r="C673" s="178">
        <v>0</v>
      </c>
      <c r="D673" s="178">
        <v>242088.13</v>
      </c>
      <c r="E673" s="178">
        <v>242088.13</v>
      </c>
      <c r="F673">
        <v>0</v>
      </c>
      <c r="G673" t="s">
        <v>497</v>
      </c>
    </row>
    <row r="674" spans="1:9">
      <c r="A674" s="178">
        <v>410</v>
      </c>
      <c r="B674" s="178" t="s">
        <v>276</v>
      </c>
      <c r="C674" s="178">
        <v>0</v>
      </c>
      <c r="D674" s="178">
        <v>15050000</v>
      </c>
      <c r="E674" s="178">
        <v>15050000</v>
      </c>
      <c r="F674">
        <v>0</v>
      </c>
      <c r="G674" t="s">
        <v>497</v>
      </c>
    </row>
    <row r="675" spans="1:9">
      <c r="A675" s="178">
        <v>420</v>
      </c>
      <c r="B675" s="178" t="s">
        <v>662</v>
      </c>
      <c r="C675" s="178">
        <v>0</v>
      </c>
      <c r="D675" s="178">
        <v>0</v>
      </c>
      <c r="E675" s="178">
        <v>0</v>
      </c>
      <c r="F675">
        <v>0</v>
      </c>
      <c r="G675" t="s">
        <v>497</v>
      </c>
    </row>
    <row r="676" spans="1:9">
      <c r="A676" s="178">
        <v>425</v>
      </c>
      <c r="B676" s="178" t="s">
        <v>635</v>
      </c>
      <c r="C676" s="178">
        <v>0</v>
      </c>
      <c r="D676" s="178">
        <v>0</v>
      </c>
      <c r="E676" s="178">
        <v>0</v>
      </c>
      <c r="F676">
        <v>0</v>
      </c>
      <c r="G676" t="s">
        <v>497</v>
      </c>
    </row>
    <row r="677" spans="1:9">
      <c r="A677" s="178">
        <v>427</v>
      </c>
      <c r="B677" s="178" t="s">
        <v>663</v>
      </c>
      <c r="C677" s="178">
        <v>0</v>
      </c>
      <c r="D677" s="178">
        <v>0</v>
      </c>
      <c r="E677" s="178">
        <v>0</v>
      </c>
      <c r="F677">
        <v>0</v>
      </c>
      <c r="G677" t="s">
        <v>497</v>
      </c>
    </row>
    <row r="678" spans="1:9">
      <c r="A678" s="178">
        <v>430</v>
      </c>
      <c r="B678" s="178" t="s">
        <v>279</v>
      </c>
      <c r="C678" s="178">
        <v>0</v>
      </c>
      <c r="D678" s="178">
        <v>-5946985.62</v>
      </c>
      <c r="E678" s="178">
        <v>-5946985.62</v>
      </c>
      <c r="F678">
        <v>0</v>
      </c>
      <c r="G678" t="s">
        <v>497</v>
      </c>
    </row>
    <row r="679" spans="1:9">
      <c r="A679" s="178">
        <v>440</v>
      </c>
      <c r="B679" s="178" t="s">
        <v>280</v>
      </c>
      <c r="C679" s="178">
        <v>0</v>
      </c>
      <c r="D679" s="178">
        <v>9345102.51</v>
      </c>
      <c r="E679" s="178">
        <v>9345102.51</v>
      </c>
      <c r="F679">
        <v>0</v>
      </c>
      <c r="G679" t="s">
        <v>497</v>
      </c>
    </row>
    <row r="680" spans="1:9">
      <c r="A680" s="178">
        <v>450</v>
      </c>
      <c r="B680" s="178" t="s">
        <v>281</v>
      </c>
      <c r="C680" s="178">
        <v>0</v>
      </c>
      <c r="D680" s="178">
        <v>0</v>
      </c>
      <c r="E680" s="178">
        <v>0</v>
      </c>
      <c r="F680">
        <v>0</v>
      </c>
      <c r="G680" t="s">
        <v>497</v>
      </c>
    </row>
    <row r="681" spans="1:9">
      <c r="A681" s="178">
        <v>455</v>
      </c>
      <c r="B681" s="178" t="s">
        <v>664</v>
      </c>
      <c r="C681" s="178">
        <v>0</v>
      </c>
      <c r="D681" s="178">
        <v>0</v>
      </c>
      <c r="E681" s="178">
        <v>0</v>
      </c>
      <c r="F681">
        <v>0</v>
      </c>
      <c r="G681" t="s">
        <v>497</v>
      </c>
    </row>
    <row r="682" spans="1:9">
      <c r="A682" s="178">
        <v>456</v>
      </c>
      <c r="B682" s="178" t="s">
        <v>637</v>
      </c>
      <c r="C682" s="178">
        <v>0</v>
      </c>
      <c r="D682" s="178">
        <v>0</v>
      </c>
      <c r="E682" s="178">
        <v>0</v>
      </c>
      <c r="F682">
        <v>0</v>
      </c>
      <c r="G682" t="s">
        <v>497</v>
      </c>
    </row>
    <row r="683" spans="1:9">
      <c r="A683" s="178">
        <v>460</v>
      </c>
      <c r="B683" s="178" t="s">
        <v>283</v>
      </c>
      <c r="C683" s="178">
        <v>0</v>
      </c>
      <c r="D683" s="178">
        <v>-1</v>
      </c>
      <c r="E683" s="178">
        <v>-1</v>
      </c>
      <c r="F683">
        <v>0</v>
      </c>
      <c r="G683" t="s">
        <v>497</v>
      </c>
    </row>
    <row r="684" spans="1:9">
      <c r="A684" s="178">
        <v>470</v>
      </c>
      <c r="B684" s="178" t="s">
        <v>665</v>
      </c>
      <c r="C684" s="178">
        <v>0</v>
      </c>
      <c r="D684" s="178">
        <v>0</v>
      </c>
      <c r="E684" s="178">
        <v>0</v>
      </c>
      <c r="F684">
        <v>0</v>
      </c>
      <c r="G684" t="s">
        <v>497</v>
      </c>
    </row>
    <row r="685" spans="1:9">
      <c r="A685" s="178">
        <v>480</v>
      </c>
      <c r="B685" s="178" t="s">
        <v>284</v>
      </c>
      <c r="C685" s="178">
        <v>0</v>
      </c>
      <c r="D685" s="178">
        <v>0</v>
      </c>
      <c r="E685" s="178">
        <v>0</v>
      </c>
      <c r="F685">
        <v>0</v>
      </c>
      <c r="G685" t="s">
        <v>497</v>
      </c>
    </row>
    <row r="686" spans="1:9">
      <c r="A686" s="178">
        <v>490</v>
      </c>
      <c r="B686" s="178" t="s">
        <v>666</v>
      </c>
      <c r="C686" s="178">
        <v>0</v>
      </c>
      <c r="D686" s="178">
        <v>0</v>
      </c>
      <c r="E686" s="178">
        <v>0</v>
      </c>
      <c r="F686">
        <v>0</v>
      </c>
      <c r="G686" t="s">
        <v>497</v>
      </c>
    </row>
    <row r="687" spans="1:9">
      <c r="A687" s="178">
        <v>500</v>
      </c>
      <c r="B687" s="178" t="s">
        <v>285</v>
      </c>
      <c r="C687" s="178">
        <v>0</v>
      </c>
      <c r="D687" s="178">
        <v>-1</v>
      </c>
      <c r="E687" s="178">
        <v>-1</v>
      </c>
      <c r="F687">
        <v>0</v>
      </c>
      <c r="G687" t="s">
        <v>497</v>
      </c>
    </row>
    <row r="688" spans="1:9">
      <c r="A688" s="178">
        <v>510</v>
      </c>
      <c r="B688" s="178" t="s">
        <v>640</v>
      </c>
      <c r="C688" s="178">
        <v>0</v>
      </c>
      <c r="D688" s="178">
        <v>0</v>
      </c>
      <c r="E688" s="178">
        <v>0</v>
      </c>
      <c r="F688">
        <v>0</v>
      </c>
      <c r="G688" t="s">
        <v>497</v>
      </c>
    </row>
    <row r="689" spans="1:9">
      <c r="A689" s="178">
        <v>512</v>
      </c>
      <c r="B689" s="178" t="s">
        <v>667</v>
      </c>
      <c r="C689" s="178">
        <v>0</v>
      </c>
      <c r="D689" s="178">
        <v>-1</v>
      </c>
      <c r="E689" s="178">
        <v>-1</v>
      </c>
      <c r="F689">
        <v>0</v>
      </c>
      <c r="G689" t="s">
        <v>497</v>
      </c>
    </row>
    <row r="690" spans="1:9">
      <c r="A690" s="178">
        <v>514</v>
      </c>
      <c r="B690" s="178" t="s">
        <v>641</v>
      </c>
      <c r="C690" s="178">
        <v>0</v>
      </c>
      <c r="D690" s="178">
        <v>0</v>
      </c>
      <c r="E690" s="178">
        <v>0</v>
      </c>
      <c r="F690">
        <v>0</v>
      </c>
      <c r="G690" t="s">
        <v>497</v>
      </c>
    </row>
    <row r="691" spans="1:9">
      <c r="A691" s="178">
        <v>520</v>
      </c>
      <c r="B691" s="178" t="s">
        <v>668</v>
      </c>
      <c r="C691" s="178">
        <v>0</v>
      </c>
      <c r="D691" s="178">
        <v>0</v>
      </c>
      <c r="E691" s="178">
        <v>0</v>
      </c>
      <c r="F691">
        <v>0</v>
      </c>
      <c r="G691" t="s">
        <v>497</v>
      </c>
    </row>
    <row r="692" spans="1:9">
      <c r="A692" s="178">
        <v>530</v>
      </c>
      <c r="B692" s="178" t="s">
        <v>643</v>
      </c>
      <c r="C692" s="178">
        <v>0</v>
      </c>
      <c r="D692" s="178">
        <v>0</v>
      </c>
      <c r="E692" s="178">
        <v>0</v>
      </c>
      <c r="F692">
        <v>0</v>
      </c>
      <c r="G692" t="s">
        <v>497</v>
      </c>
    </row>
    <row r="693" spans="1:9">
      <c r="A693" s="178">
        <v>540</v>
      </c>
      <c r="B693" s="178" t="s">
        <v>669</v>
      </c>
      <c r="C693" s="178">
        <v>0</v>
      </c>
      <c r="D693" s="178">
        <v>-1</v>
      </c>
      <c r="E693" s="178">
        <v>-1</v>
      </c>
      <c r="F693">
        <v>0</v>
      </c>
      <c r="G693" t="s">
        <v>497</v>
      </c>
    </row>
    <row r="694" spans="1:9">
      <c r="A694" s="178">
        <v>550</v>
      </c>
      <c r="B694" s="178" t="s">
        <v>670</v>
      </c>
      <c r="C694" s="178">
        <v>0</v>
      </c>
      <c r="D694" s="178">
        <v>0</v>
      </c>
      <c r="E694" s="178">
        <v>0</v>
      </c>
      <c r="F694">
        <v>0</v>
      </c>
      <c r="G694" t="s">
        <v>497</v>
      </c>
    </row>
    <row r="695" spans="1:9">
      <c r="A695" s="178">
        <v>560</v>
      </c>
      <c r="B695" s="178" t="s">
        <v>646</v>
      </c>
      <c r="C695" s="178">
        <v>0</v>
      </c>
      <c r="D695" s="178">
        <v>0</v>
      </c>
      <c r="E695" s="178">
        <v>0</v>
      </c>
      <c r="F695">
        <v>0</v>
      </c>
      <c r="G695" t="s">
        <v>497</v>
      </c>
    </row>
    <row r="696" spans="1:9">
      <c r="A696" s="178">
        <v>570</v>
      </c>
      <c r="B696" s="178" t="s">
        <v>647</v>
      </c>
      <c r="C696" s="178">
        <v>0</v>
      </c>
      <c r="D696" s="178">
        <v>0</v>
      </c>
      <c r="E696" s="178">
        <v>0</v>
      </c>
      <c r="F696">
        <v>0</v>
      </c>
      <c r="G696" t="s">
        <v>497</v>
      </c>
    </row>
    <row r="697" spans="1:9">
      <c r="A697" s="178">
        <v>580</v>
      </c>
      <c r="B697" s="178" t="s">
        <v>290</v>
      </c>
      <c r="C697" s="178">
        <v>0</v>
      </c>
      <c r="D697" s="178">
        <v>0</v>
      </c>
      <c r="E697" s="178">
        <v>0</v>
      </c>
      <c r="F697">
        <v>0</v>
      </c>
      <c r="G697" t="s">
        <v>497</v>
      </c>
    </row>
    <row r="698" spans="1:9">
      <c r="A698" s="178">
        <v>590</v>
      </c>
      <c r="B698" s="178" t="s">
        <v>671</v>
      </c>
      <c r="C698" s="178">
        <v>0</v>
      </c>
      <c r="D698" s="178">
        <v>0</v>
      </c>
      <c r="E698" s="178">
        <v>0</v>
      </c>
      <c r="F698">
        <v>0</v>
      </c>
      <c r="G698" t="s">
        <v>497</v>
      </c>
    </row>
    <row r="699" spans="1:9">
      <c r="A699" s="178">
        <v>600</v>
      </c>
      <c r="B699" s="178" t="s">
        <v>672</v>
      </c>
      <c r="C699" s="178">
        <v>0</v>
      </c>
      <c r="D699" s="178">
        <v>0</v>
      </c>
      <c r="E699" s="178">
        <v>0</v>
      </c>
      <c r="F699">
        <v>0</v>
      </c>
      <c r="G699" t="s">
        <v>497</v>
      </c>
    </row>
    <row r="700" spans="1:9">
      <c r="A700" s="178">
        <v>610</v>
      </c>
      <c r="B700" s="178" t="s">
        <v>673</v>
      </c>
      <c r="C700" s="178">
        <v>0</v>
      </c>
      <c r="D700" s="178">
        <v>0</v>
      </c>
      <c r="E700" s="178">
        <v>0</v>
      </c>
      <c r="F700">
        <v>0</v>
      </c>
      <c r="G700" t="s">
        <v>497</v>
      </c>
    </row>
    <row r="701" spans="1:9">
      <c r="A701" s="178">
        <v>615</v>
      </c>
      <c r="B701" s="178" t="s">
        <v>674</v>
      </c>
      <c r="C701" s="178">
        <v>0</v>
      </c>
      <c r="D701" s="178">
        <v>0</v>
      </c>
      <c r="E701" s="178">
        <v>0</v>
      </c>
      <c r="F701">
        <v>0</v>
      </c>
      <c r="G701" t="s">
        <v>497</v>
      </c>
    </row>
    <row r="702" spans="1:9">
      <c r="A702" s="178">
        <v>620</v>
      </c>
      <c r="B702" s="178" t="s">
        <v>292</v>
      </c>
      <c r="C702" s="178">
        <v>0</v>
      </c>
      <c r="D702" s="178">
        <v>0</v>
      </c>
      <c r="E702" s="178">
        <v>0</v>
      </c>
      <c r="F702">
        <v>0</v>
      </c>
      <c r="G702" t="s">
        <v>497</v>
      </c>
    </row>
    <row r="703" spans="1:9">
      <c r="A703" s="178">
        <v>630</v>
      </c>
      <c r="B703" s="178" t="s">
        <v>293</v>
      </c>
      <c r="C703" s="178">
        <v>0</v>
      </c>
      <c r="D703" s="178">
        <v>0</v>
      </c>
      <c r="E703" s="178">
        <v>0</v>
      </c>
      <c r="F703">
        <v>0</v>
      </c>
      <c r="G703" t="s">
        <v>497</v>
      </c>
    </row>
    <row r="704" spans="1:9">
      <c r="A704" s="178">
        <v>635</v>
      </c>
      <c r="B704" s="178" t="s">
        <v>675</v>
      </c>
      <c r="C704" s="178">
        <v>0</v>
      </c>
      <c r="D704" s="178">
        <v>0</v>
      </c>
      <c r="E704" s="178">
        <v>0</v>
      </c>
      <c r="F704">
        <v>0</v>
      </c>
      <c r="G704" t="s">
        <v>497</v>
      </c>
    </row>
    <row r="705" spans="1:9">
      <c r="A705" s="178">
        <v>640</v>
      </c>
      <c r="B705" s="178" t="s">
        <v>294</v>
      </c>
      <c r="C705" s="178">
        <v>0</v>
      </c>
      <c r="D705" s="178">
        <v>-4</v>
      </c>
      <c r="E705" s="178">
        <v>-4</v>
      </c>
      <c r="F705">
        <v>0</v>
      </c>
      <c r="G705" t="s">
        <v>497</v>
      </c>
    </row>
    <row r="706" spans="1:9">
      <c r="A706" s="178">
        <v>650</v>
      </c>
      <c r="B706" s="178" t="s">
        <v>295</v>
      </c>
      <c r="C706" s="178">
        <v>-1453.48</v>
      </c>
      <c r="D706" s="178">
        <v>9535592.73</v>
      </c>
      <c r="E706" s="178">
        <v>9534139.25</v>
      </c>
      <c r="F706">
        <v>-1453.48</v>
      </c>
      <c r="G706" t="s">
        <v>497</v>
      </c>
    </row>
    <row r="707" spans="1:9">
      <c r="A707" s="178" t="s">
        <v>446</v>
      </c>
      <c r="B707" s="178" t="s">
        <v>402</v>
      </c>
      <c r="C707" s="178" t="s">
        <v>609</v>
      </c>
      <c r="D707" s="178" t="s">
        <v>610</v>
      </c>
      <c r="E707" s="178" t="s">
        <v>611</v>
      </c>
      <c r="F707" t="s">
        <v>612</v>
      </c>
      <c r="G707" t="s">
        <v>405</v>
      </c>
    </row>
    <row r="708" spans="1:9">
      <c r="A708" s="178">
        <v>10</v>
      </c>
      <c r="B708" s="178" t="s">
        <v>613</v>
      </c>
      <c r="C708" s="178">
        <v>0</v>
      </c>
      <c r="D708" s="178">
        <v>0</v>
      </c>
      <c r="E708" s="178">
        <v>0</v>
      </c>
      <c r="F708">
        <v>0</v>
      </c>
      <c r="G708" t="s">
        <v>497</v>
      </c>
    </row>
    <row r="709" spans="1:9">
      <c r="A709" s="178">
        <v>20</v>
      </c>
      <c r="B709" s="178" t="s">
        <v>406</v>
      </c>
      <c r="C709" s="178">
        <v>52571553.24</v>
      </c>
      <c r="D709" s="178">
        <v>0</v>
      </c>
      <c r="E709" s="178">
        <v>52571553.24</v>
      </c>
      <c r="F709">
        <v>52571553.24</v>
      </c>
      <c r="G709" t="s">
        <v>497</v>
      </c>
    </row>
    <row r="710" spans="1:9">
      <c r="A710" s="178">
        <v>30</v>
      </c>
      <c r="B710" s="178" t="s">
        <v>614</v>
      </c>
      <c r="C710" s="178">
        <v>107784.9</v>
      </c>
      <c r="D710" s="178">
        <v>0</v>
      </c>
      <c r="E710" s="178">
        <v>107784.9</v>
      </c>
      <c r="F710">
        <v>107784.9</v>
      </c>
      <c r="G710" t="s">
        <v>497</v>
      </c>
    </row>
    <row r="711" spans="1:9">
      <c r="A711" s="178">
        <v>35</v>
      </c>
      <c r="B711" s="178" t="s">
        <v>615</v>
      </c>
      <c r="C711" s="178">
        <v>52463768.34</v>
      </c>
      <c r="D711" s="178">
        <v>0</v>
      </c>
      <c r="E711" s="178">
        <v>52463768.34</v>
      </c>
      <c r="F711">
        <v>52463768.34</v>
      </c>
      <c r="G711" t="s">
        <v>497</v>
      </c>
    </row>
    <row r="712" spans="1:9">
      <c r="A712" s="178">
        <v>40</v>
      </c>
      <c r="B712" s="178" t="s">
        <v>616</v>
      </c>
      <c r="C712" s="178">
        <v>43447640.04</v>
      </c>
      <c r="D712" s="178">
        <v>0</v>
      </c>
      <c r="E712" s="178">
        <v>43447640.04</v>
      </c>
      <c r="F712">
        <v>43447640.04</v>
      </c>
      <c r="G712" t="s">
        <v>497</v>
      </c>
    </row>
    <row r="713" spans="1:9">
      <c r="A713" s="178">
        <v>50</v>
      </c>
      <c r="B713" s="178" t="s">
        <v>617</v>
      </c>
      <c r="C713" s="178">
        <v>0</v>
      </c>
      <c r="D713" s="178">
        <v>0</v>
      </c>
      <c r="E713" s="178">
        <v>0</v>
      </c>
      <c r="F713">
        <v>0</v>
      </c>
      <c r="G713" t="s">
        <v>497</v>
      </c>
    </row>
    <row r="714" spans="1:9">
      <c r="A714" s="178">
        <v>60</v>
      </c>
      <c r="B714" s="178" t="s">
        <v>618</v>
      </c>
      <c r="C714" s="178">
        <v>9016128.3</v>
      </c>
      <c r="D714" s="178">
        <v>0</v>
      </c>
      <c r="E714" s="178">
        <v>9016128.3</v>
      </c>
      <c r="F714">
        <v>9016128.3</v>
      </c>
      <c r="G714" t="s">
        <v>497</v>
      </c>
    </row>
    <row r="715" spans="1:9">
      <c r="A715" s="178">
        <v>70</v>
      </c>
      <c r="B715" s="178" t="s">
        <v>412</v>
      </c>
      <c r="C715" s="178">
        <v>4154787.93</v>
      </c>
      <c r="D715" s="178">
        <v>0</v>
      </c>
      <c r="E715" s="178">
        <v>4154787.93</v>
      </c>
      <c r="F715">
        <v>4154787.93</v>
      </c>
      <c r="G715" t="s">
        <v>497</v>
      </c>
    </row>
    <row r="716" spans="1:9">
      <c r="A716" s="178">
        <v>80</v>
      </c>
      <c r="B716" s="178" t="s">
        <v>413</v>
      </c>
      <c r="C716" s="178">
        <v>2684310.41</v>
      </c>
      <c r="D716" s="178">
        <v>0</v>
      </c>
      <c r="E716" s="178">
        <v>2684310.41</v>
      </c>
      <c r="F716">
        <v>2684310.41</v>
      </c>
      <c r="G716" t="s">
        <v>497</v>
      </c>
    </row>
    <row r="717" spans="1:9">
      <c r="A717" s="178">
        <v>90</v>
      </c>
      <c r="B717" s="178" t="s">
        <v>619</v>
      </c>
      <c r="C717" s="178">
        <v>355150.84</v>
      </c>
      <c r="D717" s="178">
        <v>0</v>
      </c>
      <c r="E717" s="178">
        <v>355150.84</v>
      </c>
      <c r="F717">
        <v>355150.84</v>
      </c>
      <c r="G717" t="s">
        <v>497</v>
      </c>
    </row>
    <row r="718" spans="1:9">
      <c r="A718" s="178">
        <v>100</v>
      </c>
      <c r="B718" s="178" t="s">
        <v>620</v>
      </c>
      <c r="C718" s="178">
        <v>1821879.12</v>
      </c>
      <c r="D718" s="178">
        <v>0</v>
      </c>
      <c r="E718" s="178">
        <v>1821879.12</v>
      </c>
      <c r="F718">
        <v>1821879.12</v>
      </c>
      <c r="G718" t="s">
        <v>497</v>
      </c>
    </row>
    <row r="719" spans="1:9">
      <c r="A719" s="178">
        <v>110</v>
      </c>
      <c r="B719" s="178" t="s">
        <v>621</v>
      </c>
      <c r="C719" s="178">
        <v>-965.53</v>
      </c>
      <c r="D719" s="178">
        <v>0</v>
      </c>
      <c r="E719" s="178">
        <v>-965.53</v>
      </c>
      <c r="F719">
        <v>-965.53</v>
      </c>
      <c r="G719" t="s">
        <v>497</v>
      </c>
    </row>
    <row r="720" spans="1:9">
      <c r="A720" s="178">
        <v>120</v>
      </c>
      <c r="B720" s="178" t="s">
        <v>622</v>
      </c>
      <c r="C720" s="178">
        <v>-628075.91</v>
      </c>
      <c r="D720" s="178">
        <v>0</v>
      </c>
      <c r="E720" s="178">
        <v>-628075.91</v>
      </c>
      <c r="F720">
        <v>-628075.91</v>
      </c>
      <c r="G720" t="s">
        <v>497</v>
      </c>
    </row>
    <row r="721" spans="1:9">
      <c r="A721" s="178">
        <v>130</v>
      </c>
      <c r="B721" s="178" t="s">
        <v>623</v>
      </c>
      <c r="C721" s="178">
        <v>22.86</v>
      </c>
      <c r="D721" s="178">
        <v>0</v>
      </c>
      <c r="E721" s="178">
        <v>22.86</v>
      </c>
      <c r="F721">
        <v>22.86</v>
      </c>
      <c r="G721" t="s">
        <v>497</v>
      </c>
    </row>
    <row r="722" spans="1:9">
      <c r="A722" s="178">
        <v>140</v>
      </c>
      <c r="B722" s="178" t="s">
        <v>624</v>
      </c>
      <c r="C722" s="178">
        <v>0.22</v>
      </c>
      <c r="D722" s="178">
        <v>0</v>
      </c>
      <c r="E722" s="178">
        <v>0.22</v>
      </c>
      <c r="F722">
        <v>0.22</v>
      </c>
      <c r="G722" t="s">
        <v>497</v>
      </c>
    </row>
    <row r="723" spans="1:9">
      <c r="A723" s="178">
        <v>145</v>
      </c>
      <c r="B723" s="178" t="s">
        <v>422</v>
      </c>
      <c r="C723" s="178">
        <v>-629018.8</v>
      </c>
      <c r="D723" s="178">
        <v>0</v>
      </c>
      <c r="E723" s="178">
        <v>-629018.8</v>
      </c>
      <c r="F723">
        <v>-629018.8</v>
      </c>
      <c r="G723" t="s">
        <v>497</v>
      </c>
    </row>
    <row r="724" spans="1:9">
      <c r="A724" s="178">
        <v>150</v>
      </c>
      <c r="B724" s="178" t="s">
        <v>625</v>
      </c>
      <c r="C724" s="178">
        <v>2450897.92</v>
      </c>
      <c r="D724" s="178">
        <v>0</v>
      </c>
      <c r="E724" s="178">
        <v>2450897.92</v>
      </c>
      <c r="F724">
        <v>2450897.92</v>
      </c>
      <c r="G724" t="s">
        <v>497</v>
      </c>
    </row>
    <row r="725" spans="1:9">
      <c r="A725" s="178">
        <v>160</v>
      </c>
      <c r="B725" s="178" t="s">
        <v>626</v>
      </c>
      <c r="C725" s="178">
        <v>1382151.46</v>
      </c>
      <c r="D725" s="178">
        <v>0</v>
      </c>
      <c r="E725" s="178">
        <v>1382151.46</v>
      </c>
      <c r="F725">
        <v>1382151.46</v>
      </c>
      <c r="G725" t="s">
        <v>497</v>
      </c>
    </row>
    <row r="726" spans="1:9">
      <c r="A726" s="178">
        <v>170</v>
      </c>
      <c r="B726" s="178" t="s">
        <v>426</v>
      </c>
      <c r="C726" s="178">
        <v>1068746.46</v>
      </c>
      <c r="D726" s="178">
        <v>0</v>
      </c>
      <c r="E726" s="178">
        <v>1068746.46</v>
      </c>
      <c r="F726">
        <v>1068746.46</v>
      </c>
      <c r="G726" t="s">
        <v>497</v>
      </c>
    </row>
    <row r="727" spans="1:9">
      <c r="A727" s="178">
        <v>190</v>
      </c>
      <c r="B727" s="178" t="s">
        <v>627</v>
      </c>
      <c r="C727" s="178">
        <v>0</v>
      </c>
      <c r="D727" s="178">
        <v>0</v>
      </c>
      <c r="E727" s="178">
        <v>0</v>
      </c>
      <c r="F727">
        <v>0</v>
      </c>
      <c r="G727" t="s">
        <v>497</v>
      </c>
    </row>
    <row r="728" spans="1:9">
      <c r="A728" s="178">
        <v>200</v>
      </c>
      <c r="B728" s="178" t="s">
        <v>426</v>
      </c>
      <c r="C728" s="178">
        <v>1068746.46</v>
      </c>
      <c r="D728" s="178">
        <v>0</v>
      </c>
      <c r="E728" s="178">
        <v>1068746.46</v>
      </c>
      <c r="F728">
        <v>1068746.46</v>
      </c>
      <c r="G728" t="s">
        <v>497</v>
      </c>
    </row>
    <row r="729" spans="1:9">
      <c r="A729" s="178">
        <v>210</v>
      </c>
      <c r="B729" s="178" t="s">
        <v>264</v>
      </c>
      <c r="C729" s="178">
        <v>1068746.46</v>
      </c>
      <c r="D729" s="178">
        <v>0</v>
      </c>
      <c r="E729" s="178">
        <v>1068746.46</v>
      </c>
      <c r="F729">
        <v>1068746.46</v>
      </c>
      <c r="G729" t="s">
        <v>497</v>
      </c>
    </row>
    <row r="730" spans="1:9">
      <c r="A730" s="178">
        <v>220</v>
      </c>
      <c r="B730" s="178" t="s">
        <v>628</v>
      </c>
      <c r="C730" s="178">
        <v>0</v>
      </c>
      <c r="D730" s="178">
        <v>0</v>
      </c>
      <c r="E730" s="178">
        <v>0</v>
      </c>
      <c r="F730">
        <v>0</v>
      </c>
      <c r="G730" t="s">
        <v>497</v>
      </c>
    </row>
    <row r="731" spans="1:9">
      <c r="A731" s="178">
        <v>230</v>
      </c>
      <c r="B731" s="178" t="s">
        <v>266</v>
      </c>
      <c r="C731" s="178">
        <v>-2247222.84</v>
      </c>
      <c r="D731" s="178">
        <v>-5810133.35</v>
      </c>
      <c r="E731" s="178">
        <v>-8057356.19</v>
      </c>
      <c r="F731">
        <v>-2247222.84</v>
      </c>
      <c r="G731" t="s">
        <v>497</v>
      </c>
    </row>
    <row r="732" spans="1:9">
      <c r="A732" s="178">
        <v>235</v>
      </c>
      <c r="B732" s="178" t="s">
        <v>629</v>
      </c>
      <c r="C732" s="178">
        <v>-4440.69</v>
      </c>
      <c r="D732" s="178">
        <v>-24733.05</v>
      </c>
      <c r="E732" s="178">
        <v>-29173.74</v>
      </c>
      <c r="F732">
        <v>-4440.69</v>
      </c>
      <c r="G732" t="s">
        <v>497</v>
      </c>
    </row>
    <row r="733" spans="1:9">
      <c r="A733" s="178">
        <v>240</v>
      </c>
      <c r="B733" s="178" t="s">
        <v>267</v>
      </c>
      <c r="C733" s="178">
        <v>-14835706.07</v>
      </c>
      <c r="D733" s="178">
        <v>-10195554.55</v>
      </c>
      <c r="E733" s="178">
        <v>-25031260.62</v>
      </c>
      <c r="F733">
        <v>-14835706.07</v>
      </c>
      <c r="G733" t="s">
        <v>497</v>
      </c>
    </row>
    <row r="734" spans="1:9">
      <c r="A734" s="178">
        <v>250</v>
      </c>
      <c r="B734" s="178" t="s">
        <v>268</v>
      </c>
      <c r="C734" s="178">
        <v>-1126495.51</v>
      </c>
      <c r="D734" s="178">
        <v>-3929823.1</v>
      </c>
      <c r="E734" s="178">
        <v>-5056318.61</v>
      </c>
      <c r="F734">
        <v>-1126495.51</v>
      </c>
      <c r="G734" t="s">
        <v>497</v>
      </c>
    </row>
    <row r="735" spans="1:9">
      <c r="A735" s="178">
        <v>260</v>
      </c>
      <c r="B735" s="178" t="s">
        <v>630</v>
      </c>
      <c r="C735" s="178">
        <v>-1269896.33</v>
      </c>
      <c r="D735" s="178">
        <v>-3146105.96</v>
      </c>
      <c r="E735" s="178">
        <v>-4416002.29</v>
      </c>
      <c r="F735">
        <v>-1269896.33</v>
      </c>
      <c r="G735" t="s">
        <v>497</v>
      </c>
    </row>
    <row r="736" spans="1:9">
      <c r="A736" s="178">
        <v>270</v>
      </c>
      <c r="B736" s="178" t="s">
        <v>269</v>
      </c>
      <c r="C736" s="178">
        <v>-0.22</v>
      </c>
      <c r="D736" s="178">
        <v>-2650038.92</v>
      </c>
      <c r="E736" s="178">
        <v>-2650039.14</v>
      </c>
      <c r="F736">
        <v>-0.22</v>
      </c>
      <c r="G736" t="s">
        <v>497</v>
      </c>
    </row>
    <row r="737" spans="1:9">
      <c r="A737" s="178">
        <v>300</v>
      </c>
      <c r="B737" s="178" t="s">
        <v>270</v>
      </c>
      <c r="C737" s="178">
        <v>7200363.89</v>
      </c>
      <c r="D737" s="178">
        <v>12322643.14</v>
      </c>
      <c r="E737" s="178">
        <v>19523007.03</v>
      </c>
      <c r="F737">
        <v>7200363.89</v>
      </c>
      <c r="G737" t="s">
        <v>497</v>
      </c>
    </row>
    <row r="738" spans="1:9">
      <c r="A738" s="178">
        <v>310</v>
      </c>
      <c r="B738" s="178" t="s">
        <v>631</v>
      </c>
      <c r="C738" s="178">
        <v>0</v>
      </c>
      <c r="D738" s="178">
        <v>0</v>
      </c>
      <c r="E738" s="178">
        <v>0</v>
      </c>
      <c r="F738">
        <v>0</v>
      </c>
      <c r="G738" t="s">
        <v>497</v>
      </c>
    </row>
    <row r="739" spans="1:9">
      <c r="A739" s="178">
        <v>320</v>
      </c>
      <c r="B739" s="178" t="s">
        <v>271</v>
      </c>
      <c r="C739" s="178">
        <v>9424408.66</v>
      </c>
      <c r="D739" s="178">
        <v>13873719.72</v>
      </c>
      <c r="E739" s="178">
        <v>23298128.38</v>
      </c>
      <c r="F739">
        <v>9424408.66</v>
      </c>
      <c r="G739" t="s">
        <v>497</v>
      </c>
    </row>
    <row r="740" spans="1:9">
      <c r="A740" s="178">
        <v>325</v>
      </c>
      <c r="B740" s="178" t="s">
        <v>272</v>
      </c>
      <c r="C740" s="178">
        <v>0</v>
      </c>
      <c r="D740" s="178">
        <v>0</v>
      </c>
      <c r="E740" s="178">
        <v>0</v>
      </c>
      <c r="F740">
        <v>0</v>
      </c>
      <c r="G740" t="s">
        <v>497</v>
      </c>
    </row>
    <row r="741" spans="1:9">
      <c r="A741" s="178">
        <v>330</v>
      </c>
      <c r="B741" s="178" t="s">
        <v>632</v>
      </c>
      <c r="C741" s="178">
        <v>892116.72</v>
      </c>
      <c r="D741" s="178">
        <v>-333650.1</v>
      </c>
      <c r="E741" s="178">
        <v>558466.62</v>
      </c>
      <c r="F741">
        <v>892116.72</v>
      </c>
      <c r="G741" t="s">
        <v>497</v>
      </c>
    </row>
    <row r="742" spans="1:9">
      <c r="A742" s="178">
        <v>340</v>
      </c>
      <c r="B742" s="178" t="s">
        <v>633</v>
      </c>
      <c r="C742" s="178">
        <v>65673.07</v>
      </c>
      <c r="D742" s="178">
        <v>2619508.52</v>
      </c>
      <c r="E742" s="178">
        <v>2685181.59</v>
      </c>
      <c r="F742">
        <v>65673.07</v>
      </c>
      <c r="G742" t="s">
        <v>497</v>
      </c>
    </row>
    <row r="743" spans="1:9">
      <c r="A743" s="178">
        <v>380</v>
      </c>
      <c r="B743" s="178" t="s">
        <v>634</v>
      </c>
      <c r="C743" s="178">
        <v>-1901199.32</v>
      </c>
      <c r="D743" s="178">
        <v>2725832.35</v>
      </c>
      <c r="E743" s="178">
        <v>824633.03</v>
      </c>
      <c r="F743">
        <v>-1901199.32</v>
      </c>
      <c r="G743" t="s">
        <v>497</v>
      </c>
    </row>
    <row r="744" spans="1:9">
      <c r="A744" s="178">
        <v>390</v>
      </c>
      <c r="B744" s="178" t="s">
        <v>273</v>
      </c>
      <c r="C744" s="178">
        <v>0</v>
      </c>
      <c r="D744" s="178">
        <v>0</v>
      </c>
      <c r="E744" s="178">
        <v>0</v>
      </c>
      <c r="F744">
        <v>0</v>
      </c>
      <c r="G744" t="s">
        <v>497</v>
      </c>
    </row>
    <row r="745" spans="1:9">
      <c r="A745" s="178">
        <v>400</v>
      </c>
      <c r="B745" s="178" t="s">
        <v>274</v>
      </c>
      <c r="C745" s="178">
        <v>0</v>
      </c>
      <c r="D745" s="178">
        <v>0.22</v>
      </c>
      <c r="E745" s="178">
        <v>0.22</v>
      </c>
      <c r="F745">
        <v>0</v>
      </c>
      <c r="G745" t="s">
        <v>497</v>
      </c>
    </row>
    <row r="746" spans="1:9">
      <c r="A746" s="178">
        <v>405</v>
      </c>
      <c r="B746" s="178" t="s">
        <v>275</v>
      </c>
      <c r="C746" s="178">
        <v>0</v>
      </c>
      <c r="D746" s="178">
        <v>0</v>
      </c>
      <c r="E746" s="178">
        <v>0</v>
      </c>
      <c r="F746">
        <v>0</v>
      </c>
      <c r="G746" t="s">
        <v>497</v>
      </c>
    </row>
    <row r="747" spans="1:9">
      <c r="A747" s="178">
        <v>410</v>
      </c>
      <c r="B747" s="178" t="s">
        <v>276</v>
      </c>
      <c r="C747" s="178">
        <v>0</v>
      </c>
      <c r="D747" s="178">
        <v>14657000</v>
      </c>
      <c r="E747" s="178">
        <v>14657000</v>
      </c>
      <c r="F747">
        <v>0</v>
      </c>
      <c r="G747" t="s">
        <v>497</v>
      </c>
    </row>
    <row r="748" spans="1:9">
      <c r="A748" s="178">
        <v>420</v>
      </c>
      <c r="B748" s="178" t="s">
        <v>277</v>
      </c>
      <c r="C748" s="178">
        <v>0</v>
      </c>
      <c r="D748" s="178">
        <v>80073.06</v>
      </c>
      <c r="E748" s="178">
        <v>80073.06</v>
      </c>
      <c r="F748">
        <v>0</v>
      </c>
      <c r="G748" t="s">
        <v>497</v>
      </c>
    </row>
    <row r="749" spans="1:9">
      <c r="A749" s="178">
        <v>425</v>
      </c>
      <c r="B749" s="178" t="s">
        <v>635</v>
      </c>
      <c r="C749" s="178">
        <v>0</v>
      </c>
      <c r="D749" s="178">
        <v>1016780.1</v>
      </c>
      <c r="E749" s="178">
        <v>1016780.1</v>
      </c>
      <c r="F749">
        <v>0</v>
      </c>
      <c r="G749" t="s">
        <v>497</v>
      </c>
    </row>
    <row r="750" spans="1:9">
      <c r="A750" s="178">
        <v>427</v>
      </c>
      <c r="B750" s="178" t="s">
        <v>636</v>
      </c>
      <c r="C750" s="178">
        <v>0</v>
      </c>
      <c r="D750" s="178">
        <v>0</v>
      </c>
      <c r="E750" s="178">
        <v>0</v>
      </c>
      <c r="F750">
        <v>0</v>
      </c>
      <c r="G750" t="s">
        <v>497</v>
      </c>
    </row>
    <row r="751" spans="1:9">
      <c r="A751" s="178">
        <v>430</v>
      </c>
      <c r="B751" s="178" t="s">
        <v>279</v>
      </c>
      <c r="C751" s="178">
        <v>0</v>
      </c>
      <c r="D751" s="178">
        <v>57851141.61</v>
      </c>
      <c r="E751" s="178">
        <v>57851141.61</v>
      </c>
      <c r="F751">
        <v>0</v>
      </c>
      <c r="G751" t="s">
        <v>497</v>
      </c>
    </row>
    <row r="752" spans="1:9">
      <c r="A752" s="178">
        <v>440</v>
      </c>
      <c r="B752" s="178" t="s">
        <v>280</v>
      </c>
      <c r="C752" s="178">
        <v>0</v>
      </c>
      <c r="D752" s="178">
        <v>73604994.99</v>
      </c>
      <c r="E752" s="178">
        <v>73604994.99</v>
      </c>
      <c r="F752">
        <v>0</v>
      </c>
      <c r="G752" t="s">
        <v>497</v>
      </c>
    </row>
    <row r="753" spans="1:9">
      <c r="A753" s="178">
        <v>450</v>
      </c>
      <c r="B753" s="178" t="s">
        <v>281</v>
      </c>
      <c r="C753" s="178">
        <v>0</v>
      </c>
      <c r="D753" s="178">
        <v>0</v>
      </c>
      <c r="E753" s="178">
        <v>0</v>
      </c>
      <c r="F753">
        <v>0</v>
      </c>
      <c r="G753" t="s">
        <v>497</v>
      </c>
    </row>
    <row r="754" spans="1:9">
      <c r="A754" s="178">
        <v>455</v>
      </c>
      <c r="B754" s="178" t="s">
        <v>282</v>
      </c>
      <c r="C754" s="178">
        <v>0</v>
      </c>
      <c r="D754" s="178">
        <v>-2523693.22</v>
      </c>
      <c r="E754" s="178">
        <v>-2523693.22</v>
      </c>
      <c r="F754">
        <v>0</v>
      </c>
      <c r="G754" t="s">
        <v>497</v>
      </c>
    </row>
    <row r="755" spans="1:9">
      <c r="A755" s="178">
        <v>456</v>
      </c>
      <c r="B755" s="178" t="s">
        <v>637</v>
      </c>
      <c r="C755" s="178">
        <v>10031.79</v>
      </c>
      <c r="D755" s="178">
        <v>20530631.75</v>
      </c>
      <c r="E755" s="178">
        <v>20540663.54</v>
      </c>
      <c r="F755">
        <v>10031.79</v>
      </c>
      <c r="G755" t="s">
        <v>497</v>
      </c>
    </row>
    <row r="756" spans="1:9">
      <c r="A756" s="178">
        <v>460</v>
      </c>
      <c r="B756" s="178" t="s">
        <v>283</v>
      </c>
      <c r="C756" s="178">
        <v>-438124.34</v>
      </c>
      <c r="D756" s="178">
        <v>-29027794.17</v>
      </c>
      <c r="E756" s="178">
        <v>-29465918.51</v>
      </c>
      <c r="F756">
        <v>-438124.34</v>
      </c>
      <c r="G756" t="s">
        <v>497</v>
      </c>
    </row>
    <row r="757" spans="1:9">
      <c r="A757" s="178">
        <v>470</v>
      </c>
      <c r="B757" s="178" t="s">
        <v>638</v>
      </c>
      <c r="C757" s="178">
        <v>26762.55</v>
      </c>
      <c r="D757" s="178">
        <v>8753285.84</v>
      </c>
      <c r="E757" s="178">
        <v>8780048.39</v>
      </c>
      <c r="F757">
        <v>26762.55</v>
      </c>
      <c r="G757" t="s">
        <v>497</v>
      </c>
    </row>
    <row r="758" spans="1:9">
      <c r="A758" s="178">
        <v>480</v>
      </c>
      <c r="B758" s="178" t="s">
        <v>284</v>
      </c>
      <c r="C758" s="178">
        <v>0</v>
      </c>
      <c r="D758" s="178">
        <v>-36625728.71</v>
      </c>
      <c r="E758" s="178">
        <v>-36625728.71</v>
      </c>
      <c r="F758">
        <v>0</v>
      </c>
      <c r="G758" t="s">
        <v>497</v>
      </c>
    </row>
    <row r="759" spans="1:9">
      <c r="A759" s="178">
        <v>490</v>
      </c>
      <c r="B759" s="178" t="s">
        <v>639</v>
      </c>
      <c r="C759" s="178">
        <v>289821.64</v>
      </c>
      <c r="D759" s="178">
        <v>15863135.84</v>
      </c>
      <c r="E759" s="178">
        <v>16152957.48</v>
      </c>
      <c r="F759">
        <v>289821.64</v>
      </c>
      <c r="G759" t="s">
        <v>497</v>
      </c>
    </row>
    <row r="760" spans="1:9">
      <c r="A760" s="178">
        <v>500</v>
      </c>
      <c r="B760" s="178" t="s">
        <v>285</v>
      </c>
      <c r="C760" s="178">
        <v>0</v>
      </c>
      <c r="D760" s="178">
        <v>-3111709.99</v>
      </c>
      <c r="E760" s="178">
        <v>-3111709.99</v>
      </c>
      <c r="F760">
        <v>0</v>
      </c>
      <c r="G760" t="s">
        <v>497</v>
      </c>
    </row>
    <row r="761" spans="1:9">
      <c r="A761" s="178">
        <v>510</v>
      </c>
      <c r="B761" s="178" t="s">
        <v>640</v>
      </c>
      <c r="C761" s="178">
        <v>21574.43</v>
      </c>
      <c r="D761" s="178">
        <v>2696934.1</v>
      </c>
      <c r="E761" s="178">
        <v>2718508.53</v>
      </c>
      <c r="F761">
        <v>21574.43</v>
      </c>
      <c r="G761" t="s">
        <v>497</v>
      </c>
    </row>
    <row r="762" spans="1:9">
      <c r="A762" s="178">
        <v>512</v>
      </c>
      <c r="B762" s="178" t="s">
        <v>286</v>
      </c>
      <c r="C762" s="178">
        <v>0</v>
      </c>
      <c r="D762" s="178">
        <v>-1592225.52</v>
      </c>
      <c r="E762" s="178">
        <v>-1592225.52</v>
      </c>
      <c r="F762">
        <v>0</v>
      </c>
      <c r="G762" t="s">
        <v>497</v>
      </c>
    </row>
    <row r="763" spans="1:9">
      <c r="A763" s="178">
        <v>514</v>
      </c>
      <c r="B763" s="178" t="s">
        <v>641</v>
      </c>
      <c r="C763" s="178">
        <v>6960.43</v>
      </c>
      <c r="D763" s="178">
        <v>979488.41</v>
      </c>
      <c r="E763" s="178">
        <v>986448.84</v>
      </c>
      <c r="F763">
        <v>6960.43</v>
      </c>
      <c r="G763" t="s">
        <v>497</v>
      </c>
    </row>
    <row r="764" spans="1:9">
      <c r="A764" s="178">
        <v>520</v>
      </c>
      <c r="B764" s="178" t="s">
        <v>642</v>
      </c>
      <c r="C764" s="178">
        <v>0</v>
      </c>
      <c r="D764" s="178">
        <v>-10980</v>
      </c>
      <c r="E764" s="178">
        <v>-10980</v>
      </c>
      <c r="F764">
        <v>0</v>
      </c>
      <c r="G764" t="s">
        <v>497</v>
      </c>
    </row>
    <row r="765" spans="1:9">
      <c r="A765" s="178">
        <v>530</v>
      </c>
      <c r="B765" s="178" t="s">
        <v>643</v>
      </c>
      <c r="C765" s="178">
        <v>0</v>
      </c>
      <c r="D765" s="178">
        <v>0</v>
      </c>
      <c r="E765" s="178">
        <v>0</v>
      </c>
      <c r="F765">
        <v>0</v>
      </c>
      <c r="G765" t="s">
        <v>497</v>
      </c>
    </row>
    <row r="766" spans="1:9">
      <c r="A766" s="178">
        <v>540</v>
      </c>
      <c r="B766" s="178" t="s">
        <v>644</v>
      </c>
      <c r="C766" s="178">
        <v>0</v>
      </c>
      <c r="D766" s="178">
        <v>-12093</v>
      </c>
      <c r="E766" s="178">
        <v>-12093</v>
      </c>
      <c r="F766">
        <v>0</v>
      </c>
      <c r="G766" t="s">
        <v>497</v>
      </c>
    </row>
    <row r="767" spans="1:9">
      <c r="A767" s="178">
        <v>550</v>
      </c>
      <c r="B767" s="178" t="s">
        <v>645</v>
      </c>
      <c r="C767" s="178">
        <v>0</v>
      </c>
      <c r="D767" s="178">
        <v>0</v>
      </c>
      <c r="E767" s="178">
        <v>0</v>
      </c>
      <c r="F767">
        <v>0</v>
      </c>
      <c r="G767" t="s">
        <v>497</v>
      </c>
    </row>
    <row r="768" spans="1:9">
      <c r="A768" s="178">
        <v>560</v>
      </c>
      <c r="B768" s="178" t="s">
        <v>646</v>
      </c>
      <c r="C768" s="178">
        <v>0</v>
      </c>
      <c r="D768" s="178">
        <v>0</v>
      </c>
      <c r="E768" s="178">
        <v>0</v>
      </c>
      <c r="F768">
        <v>0</v>
      </c>
      <c r="G768" t="s">
        <v>497</v>
      </c>
    </row>
    <row r="769" spans="1:9">
      <c r="A769" s="178">
        <v>570</v>
      </c>
      <c r="B769" s="178" t="s">
        <v>647</v>
      </c>
      <c r="C769" s="178">
        <v>0</v>
      </c>
      <c r="D769" s="178">
        <v>0</v>
      </c>
      <c r="E769" s="178">
        <v>0</v>
      </c>
      <c r="F769">
        <v>0</v>
      </c>
      <c r="G769" t="s">
        <v>497</v>
      </c>
    </row>
    <row r="770" spans="1:9">
      <c r="A770" s="178">
        <v>580</v>
      </c>
      <c r="B770" s="178" t="s">
        <v>290</v>
      </c>
      <c r="C770" s="178">
        <v>0</v>
      </c>
      <c r="D770" s="178">
        <v>-19200</v>
      </c>
      <c r="E770" s="178">
        <v>-19200</v>
      </c>
      <c r="F770">
        <v>0</v>
      </c>
      <c r="G770" t="s">
        <v>497</v>
      </c>
    </row>
    <row r="771" spans="1:9">
      <c r="A771" s="178">
        <v>590</v>
      </c>
      <c r="B771" s="178" t="s">
        <v>648</v>
      </c>
      <c r="C771" s="178">
        <v>0</v>
      </c>
      <c r="D771" s="178">
        <v>0</v>
      </c>
      <c r="E771" s="178">
        <v>0</v>
      </c>
      <c r="F771">
        <v>0</v>
      </c>
      <c r="G771" t="s">
        <v>497</v>
      </c>
    </row>
    <row r="772" spans="1:9">
      <c r="A772" s="178">
        <v>600</v>
      </c>
      <c r="B772" s="178" t="s">
        <v>291</v>
      </c>
      <c r="C772" s="178">
        <v>0</v>
      </c>
      <c r="D772" s="178">
        <v>0</v>
      </c>
      <c r="E772" s="178">
        <v>0</v>
      </c>
      <c r="F772">
        <v>0</v>
      </c>
      <c r="G772" t="s">
        <v>497</v>
      </c>
    </row>
    <row r="773" spans="1:9">
      <c r="A773" s="178">
        <v>610</v>
      </c>
      <c r="B773" s="178" t="s">
        <v>649</v>
      </c>
      <c r="C773" s="178">
        <v>0</v>
      </c>
      <c r="D773" s="178">
        <v>0</v>
      </c>
      <c r="E773" s="178">
        <v>0</v>
      </c>
      <c r="F773">
        <v>0</v>
      </c>
      <c r="G773" t="s">
        <v>497</v>
      </c>
    </row>
    <row r="774" spans="1:9">
      <c r="A774" s="178">
        <v>615</v>
      </c>
      <c r="B774" s="178" t="s">
        <v>674</v>
      </c>
      <c r="C774" s="178">
        <v>0</v>
      </c>
      <c r="D774" s="178">
        <v>-84775.27</v>
      </c>
      <c r="E774" s="178">
        <v>-84775.27</v>
      </c>
      <c r="F774">
        <v>0</v>
      </c>
      <c r="G774" t="s">
        <v>497</v>
      </c>
    </row>
    <row r="775" spans="1:9">
      <c r="A775" s="178">
        <v>620</v>
      </c>
      <c r="B775" s="178" t="s">
        <v>292</v>
      </c>
      <c r="C775" s="178">
        <v>0</v>
      </c>
      <c r="D775" s="178">
        <v>0</v>
      </c>
      <c r="E775" s="178">
        <v>0</v>
      </c>
      <c r="F775">
        <v>0</v>
      </c>
      <c r="G775" t="s">
        <v>497</v>
      </c>
    </row>
    <row r="776" spans="1:9">
      <c r="A776" s="178">
        <v>630</v>
      </c>
      <c r="B776" s="178" t="s">
        <v>293</v>
      </c>
      <c r="C776" s="178">
        <v>0</v>
      </c>
      <c r="D776" s="178">
        <v>-753.09</v>
      </c>
      <c r="E776" s="178">
        <v>-753.09</v>
      </c>
      <c r="F776">
        <v>0</v>
      </c>
      <c r="G776" t="s">
        <v>497</v>
      </c>
    </row>
    <row r="777" spans="1:9">
      <c r="A777" s="178">
        <v>635</v>
      </c>
      <c r="B777" s="178" t="s">
        <v>675</v>
      </c>
      <c r="C777" s="178">
        <v>0</v>
      </c>
      <c r="D777" s="178">
        <v>0</v>
      </c>
      <c r="E777" s="178">
        <v>0</v>
      </c>
      <c r="F777">
        <v>0</v>
      </c>
      <c r="G777" t="s">
        <v>497</v>
      </c>
    </row>
    <row r="778" spans="1:9">
      <c r="A778" s="178">
        <v>640</v>
      </c>
      <c r="B778" s="178" t="s">
        <v>294</v>
      </c>
      <c r="C778" s="178">
        <v>-82973.5</v>
      </c>
      <c r="D778" s="178">
        <v>-24185477.03</v>
      </c>
      <c r="E778" s="178">
        <v>-24268450.53</v>
      </c>
      <c r="F778">
        <v>-82973.5</v>
      </c>
      <c r="G778" t="s">
        <v>497</v>
      </c>
    </row>
    <row r="779" spans="1:9">
      <c r="A779" s="178">
        <v>650</v>
      </c>
      <c r="B779" s="178" t="s">
        <v>295</v>
      </c>
      <c r="C779" s="178">
        <v>-915426.36</v>
      </c>
      <c r="D779" s="178">
        <v>52145350.31</v>
      </c>
      <c r="E779" s="178">
        <v>51229923.95</v>
      </c>
      <c r="F779">
        <v>-915426.36</v>
      </c>
      <c r="G779" t="s">
        <v>497</v>
      </c>
    </row>
    <row r="780" spans="1:9">
      <c r="A780" s="178" t="s">
        <v>447</v>
      </c>
      <c r="B780" s="178" t="s">
        <v>402</v>
      </c>
      <c r="C780" s="178" t="s">
        <v>609</v>
      </c>
      <c r="D780" s="178" t="s">
        <v>610</v>
      </c>
      <c r="E780" s="178" t="s">
        <v>611</v>
      </c>
      <c r="F780" t="s">
        <v>612</v>
      </c>
      <c r="G780" t="s">
        <v>405</v>
      </c>
    </row>
    <row r="781" spans="1:9">
      <c r="A781" s="178">
        <v>10</v>
      </c>
      <c r="B781" s="178" t="s">
        <v>613</v>
      </c>
      <c r="C781" s="178">
        <v>0</v>
      </c>
      <c r="D781" s="178">
        <v>0</v>
      </c>
      <c r="E781" s="178">
        <v>0</v>
      </c>
      <c r="F781">
        <v>0</v>
      </c>
      <c r="G781" t="s">
        <v>497</v>
      </c>
    </row>
    <row r="782" spans="1:9">
      <c r="A782" s="178">
        <v>20</v>
      </c>
      <c r="B782" s="178" t="s">
        <v>406</v>
      </c>
      <c r="C782" s="178">
        <v>34577601.05</v>
      </c>
      <c r="D782" s="178">
        <v>0</v>
      </c>
      <c r="E782" s="178">
        <v>34577601.05</v>
      </c>
      <c r="F782">
        <v>34577601.05</v>
      </c>
      <c r="G782" t="s">
        <v>497</v>
      </c>
    </row>
    <row r="783" spans="1:9">
      <c r="A783" s="178">
        <v>30</v>
      </c>
      <c r="B783" s="178" t="s">
        <v>614</v>
      </c>
      <c r="C783" s="178">
        <v>-557480.83</v>
      </c>
      <c r="D783" s="178">
        <v>0</v>
      </c>
      <c r="E783" s="178">
        <v>-557480.83</v>
      </c>
      <c r="F783">
        <v>-557480.83</v>
      </c>
      <c r="G783" t="s">
        <v>497</v>
      </c>
    </row>
    <row r="784" spans="1:9">
      <c r="A784" s="178">
        <v>35</v>
      </c>
      <c r="B784" s="178" t="s">
        <v>615</v>
      </c>
      <c r="C784" s="178">
        <v>34020120.22</v>
      </c>
      <c r="D784" s="178">
        <v>0</v>
      </c>
      <c r="E784" s="178">
        <v>34020120.22</v>
      </c>
      <c r="F784">
        <v>34020120.22</v>
      </c>
      <c r="G784" t="s">
        <v>497</v>
      </c>
    </row>
    <row r="785" spans="1:9">
      <c r="A785" s="178">
        <v>40</v>
      </c>
      <c r="B785" s="178" t="s">
        <v>616</v>
      </c>
      <c r="C785" s="178">
        <v>21350560.33</v>
      </c>
      <c r="D785" s="178">
        <v>0</v>
      </c>
      <c r="E785" s="178">
        <v>21350560.33</v>
      </c>
      <c r="F785">
        <v>21350560.33</v>
      </c>
      <c r="G785" t="s">
        <v>497</v>
      </c>
    </row>
    <row r="786" spans="1:9">
      <c r="A786" s="178">
        <v>50</v>
      </c>
      <c r="B786" s="178" t="s">
        <v>617</v>
      </c>
      <c r="C786" s="178">
        <v>0</v>
      </c>
      <c r="D786" s="178">
        <v>0</v>
      </c>
      <c r="E786" s="178">
        <v>0</v>
      </c>
      <c r="F786">
        <v>0</v>
      </c>
      <c r="G786" t="s">
        <v>497</v>
      </c>
    </row>
    <row r="787" spans="1:9">
      <c r="A787" s="178">
        <v>60</v>
      </c>
      <c r="B787" s="178" t="s">
        <v>618</v>
      </c>
      <c r="C787" s="178">
        <v>12669559.89</v>
      </c>
      <c r="D787" s="178">
        <v>0</v>
      </c>
      <c r="E787" s="178">
        <v>12669559.89</v>
      </c>
      <c r="F787">
        <v>12669559.89</v>
      </c>
      <c r="G787" t="s">
        <v>497</v>
      </c>
    </row>
    <row r="788" spans="1:9">
      <c r="A788" s="178">
        <v>70</v>
      </c>
      <c r="B788" s="178" t="s">
        <v>412</v>
      </c>
      <c r="C788" s="178">
        <v>7349696.6</v>
      </c>
      <c r="D788" s="178">
        <v>0</v>
      </c>
      <c r="E788" s="178">
        <v>7349696.6</v>
      </c>
      <c r="F788">
        <v>7349696.6</v>
      </c>
      <c r="G788" t="s">
        <v>497</v>
      </c>
    </row>
    <row r="789" spans="1:9">
      <c r="A789" s="178">
        <v>80</v>
      </c>
      <c r="B789" s="178" t="s">
        <v>413</v>
      </c>
      <c r="C789" s="178">
        <v>1881589.11</v>
      </c>
      <c r="D789" s="178">
        <v>0</v>
      </c>
      <c r="E789" s="178">
        <v>1881589.11</v>
      </c>
      <c r="F789">
        <v>1881589.11</v>
      </c>
      <c r="G789" t="s">
        <v>497</v>
      </c>
    </row>
    <row r="790" spans="1:9">
      <c r="A790" s="178">
        <v>90</v>
      </c>
      <c r="B790" s="178" t="s">
        <v>619</v>
      </c>
      <c r="C790" s="178">
        <v>631871.85</v>
      </c>
      <c r="D790" s="178">
        <v>0</v>
      </c>
      <c r="E790" s="178">
        <v>631871.85</v>
      </c>
      <c r="F790">
        <v>631871.85</v>
      </c>
      <c r="G790" t="s">
        <v>497</v>
      </c>
    </row>
    <row r="791" spans="1:9">
      <c r="A791" s="178">
        <v>100</v>
      </c>
      <c r="B791" s="178" t="s">
        <v>620</v>
      </c>
      <c r="C791" s="178">
        <v>2806402.33</v>
      </c>
      <c r="D791" s="178">
        <v>0</v>
      </c>
      <c r="E791" s="178">
        <v>2806402.33</v>
      </c>
      <c r="F791">
        <v>2806402.33</v>
      </c>
      <c r="G791" t="s">
        <v>497</v>
      </c>
    </row>
    <row r="792" spans="1:9">
      <c r="A792" s="178">
        <v>110</v>
      </c>
      <c r="B792" s="178" t="s">
        <v>621</v>
      </c>
      <c r="C792" s="178">
        <v>6130</v>
      </c>
      <c r="D792" s="178">
        <v>0</v>
      </c>
      <c r="E792" s="178">
        <v>6130</v>
      </c>
      <c r="F792">
        <v>6130</v>
      </c>
      <c r="G792" t="s">
        <v>497</v>
      </c>
    </row>
    <row r="793" spans="1:9">
      <c r="A793" s="178">
        <v>120</v>
      </c>
      <c r="B793" s="178" t="s">
        <v>622</v>
      </c>
      <c r="C793" s="178">
        <v>-285526.11</v>
      </c>
      <c r="D793" s="178">
        <v>0</v>
      </c>
      <c r="E793" s="178">
        <v>-285526.11</v>
      </c>
      <c r="F793">
        <v>-285526.11</v>
      </c>
      <c r="G793" t="s">
        <v>497</v>
      </c>
    </row>
    <row r="794" spans="1:9">
      <c r="A794" s="178">
        <v>130</v>
      </c>
      <c r="B794" s="178" t="s">
        <v>623</v>
      </c>
      <c r="C794" s="178">
        <v>784.15</v>
      </c>
      <c r="D794" s="178">
        <v>0</v>
      </c>
      <c r="E794" s="178">
        <v>784.15</v>
      </c>
      <c r="F794">
        <v>784.15</v>
      </c>
      <c r="G794" t="s">
        <v>497</v>
      </c>
    </row>
    <row r="795" spans="1:9">
      <c r="A795" s="178">
        <v>140</v>
      </c>
      <c r="B795" s="178" t="s">
        <v>624</v>
      </c>
      <c r="C795" s="178">
        <v>56.16</v>
      </c>
      <c r="D795" s="178">
        <v>0</v>
      </c>
      <c r="E795" s="178">
        <v>56.16</v>
      </c>
      <c r="F795">
        <v>56.16</v>
      </c>
      <c r="G795" t="s">
        <v>497</v>
      </c>
    </row>
    <row r="796" spans="1:9">
      <c r="A796" s="178">
        <v>145</v>
      </c>
      <c r="B796" s="178" t="s">
        <v>422</v>
      </c>
      <c r="C796" s="178">
        <v>-278668.12</v>
      </c>
      <c r="D796" s="178">
        <v>0</v>
      </c>
      <c r="E796" s="178">
        <v>-278668.12</v>
      </c>
      <c r="F796">
        <v>-278668.12</v>
      </c>
      <c r="G796" t="s">
        <v>497</v>
      </c>
    </row>
    <row r="797" spans="1:9">
      <c r="A797" s="178">
        <v>150</v>
      </c>
      <c r="B797" s="178" t="s">
        <v>625</v>
      </c>
      <c r="C797" s="178">
        <v>3085070.45</v>
      </c>
      <c r="D797" s="178">
        <v>0</v>
      </c>
      <c r="E797" s="178">
        <v>3085070.45</v>
      </c>
      <c r="F797">
        <v>3085070.45</v>
      </c>
      <c r="G797" t="s">
        <v>497</v>
      </c>
    </row>
    <row r="798" spans="1:9">
      <c r="A798" s="178">
        <v>160</v>
      </c>
      <c r="B798" s="178" t="s">
        <v>626</v>
      </c>
      <c r="C798" s="178">
        <v>546013.16</v>
      </c>
      <c r="D798" s="178">
        <v>0</v>
      </c>
      <c r="E798" s="178">
        <v>546013.16</v>
      </c>
      <c r="F798">
        <v>546013.16</v>
      </c>
      <c r="G798" t="s">
        <v>497</v>
      </c>
    </row>
    <row r="799" spans="1:9">
      <c r="A799" s="178">
        <v>170</v>
      </c>
      <c r="B799" s="178" t="s">
        <v>426</v>
      </c>
      <c r="C799" s="178">
        <v>2539057.29</v>
      </c>
      <c r="D799" s="178">
        <v>0</v>
      </c>
      <c r="E799" s="178">
        <v>2539057.29</v>
      </c>
      <c r="F799">
        <v>2539057.29</v>
      </c>
      <c r="G799" t="s">
        <v>497</v>
      </c>
    </row>
    <row r="800" spans="1:9">
      <c r="A800" s="178">
        <v>190</v>
      </c>
      <c r="B800" s="178" t="s">
        <v>627</v>
      </c>
      <c r="C800" s="178">
        <v>0</v>
      </c>
      <c r="D800" s="178">
        <v>0</v>
      </c>
      <c r="E800" s="178">
        <v>0</v>
      </c>
      <c r="F800">
        <v>0</v>
      </c>
      <c r="G800" t="s">
        <v>497</v>
      </c>
    </row>
    <row r="801" spans="1:9">
      <c r="A801" s="178">
        <v>200</v>
      </c>
      <c r="B801" s="178" t="s">
        <v>426</v>
      </c>
      <c r="C801" s="178">
        <v>2539057.29</v>
      </c>
      <c r="D801" s="178">
        <v>0</v>
      </c>
      <c r="E801" s="178">
        <v>2539057.29</v>
      </c>
      <c r="F801">
        <v>2539057.29</v>
      </c>
      <c r="G801" t="s">
        <v>497</v>
      </c>
    </row>
    <row r="802" spans="1:9">
      <c r="A802" s="178">
        <v>210</v>
      </c>
      <c r="B802" s="178" t="s">
        <v>264</v>
      </c>
      <c r="C802" s="178">
        <v>2539057.29</v>
      </c>
      <c r="D802" s="178">
        <v>0</v>
      </c>
      <c r="E802" s="178">
        <v>2539057.29</v>
      </c>
      <c r="F802">
        <v>2539057.29</v>
      </c>
      <c r="G802" t="s">
        <v>497</v>
      </c>
    </row>
    <row r="803" spans="1:9">
      <c r="A803" s="178">
        <v>220</v>
      </c>
      <c r="B803" s="178" t="s">
        <v>628</v>
      </c>
      <c r="C803" s="178">
        <v>0</v>
      </c>
      <c r="D803" s="178">
        <v>0</v>
      </c>
      <c r="E803" s="178">
        <v>0</v>
      </c>
      <c r="F803">
        <v>0</v>
      </c>
      <c r="G803" t="s">
        <v>497</v>
      </c>
    </row>
    <row r="804" spans="1:9">
      <c r="A804" s="178">
        <v>230</v>
      </c>
      <c r="B804" s="178" t="s">
        <v>266</v>
      </c>
      <c r="C804" s="178">
        <v>-134496.49</v>
      </c>
      <c r="D804" s="178">
        <v>-14069845.92</v>
      </c>
      <c r="E804" s="178">
        <v>-14204342.41</v>
      </c>
      <c r="F804">
        <v>-134496.49</v>
      </c>
      <c r="G804" t="s">
        <v>497</v>
      </c>
    </row>
    <row r="805" spans="1:9">
      <c r="A805" s="178">
        <v>235</v>
      </c>
      <c r="B805" s="178" t="s">
        <v>629</v>
      </c>
      <c r="C805" s="178">
        <v>3800</v>
      </c>
      <c r="D805" s="178">
        <v>-703507.15</v>
      </c>
      <c r="E805" s="178">
        <v>-699707.15</v>
      </c>
      <c r="F805">
        <v>3800</v>
      </c>
      <c r="G805" t="s">
        <v>497</v>
      </c>
    </row>
    <row r="806" spans="1:9">
      <c r="A806" s="178">
        <v>240</v>
      </c>
      <c r="B806" s="178" t="s">
        <v>267</v>
      </c>
      <c r="C806" s="178">
        <v>-207330.51</v>
      </c>
      <c r="D806" s="178">
        <v>-9531908.93</v>
      </c>
      <c r="E806" s="178">
        <v>-9739239.44</v>
      </c>
      <c r="F806">
        <v>-207330.51</v>
      </c>
      <c r="G806" t="s">
        <v>497</v>
      </c>
    </row>
    <row r="807" spans="1:9">
      <c r="A807" s="178">
        <v>250</v>
      </c>
      <c r="B807" s="178" t="s">
        <v>268</v>
      </c>
      <c r="C807" s="178">
        <v>-1581052.95</v>
      </c>
      <c r="D807" s="178">
        <v>-5047034.17</v>
      </c>
      <c r="E807" s="178">
        <v>-6628087.12</v>
      </c>
      <c r="F807">
        <v>-1581052.95</v>
      </c>
      <c r="G807" t="s">
        <v>497</v>
      </c>
    </row>
    <row r="808" spans="1:9">
      <c r="A808" s="178">
        <v>260</v>
      </c>
      <c r="B808" s="178" t="s">
        <v>630</v>
      </c>
      <c r="C808" s="178">
        <v>-339.31</v>
      </c>
      <c r="D808" s="178">
        <v>-24051.42</v>
      </c>
      <c r="E808" s="178">
        <v>-24390.73</v>
      </c>
      <c r="F808">
        <v>-339.31</v>
      </c>
      <c r="G808" t="s">
        <v>497</v>
      </c>
    </row>
    <row r="809" spans="1:9">
      <c r="A809" s="178">
        <v>270</v>
      </c>
      <c r="B809" s="178" t="s">
        <v>269</v>
      </c>
      <c r="C809" s="178">
        <v>782868.62</v>
      </c>
      <c r="D809" s="178">
        <v>-3844295.14</v>
      </c>
      <c r="E809" s="178">
        <v>-3061426.52</v>
      </c>
      <c r="F809">
        <v>782868.62</v>
      </c>
      <c r="G809" t="s">
        <v>497</v>
      </c>
    </row>
    <row r="810" spans="1:9">
      <c r="A810" s="178">
        <v>300</v>
      </c>
      <c r="B810" s="178" t="s">
        <v>270</v>
      </c>
      <c r="C810" s="178">
        <v>645668.8</v>
      </c>
      <c r="D810" s="178">
        <v>8508149.08</v>
      </c>
      <c r="E810" s="178">
        <v>9153817.88</v>
      </c>
      <c r="F810">
        <v>645668.8</v>
      </c>
      <c r="G810" t="s">
        <v>497</v>
      </c>
    </row>
    <row r="811" spans="1:9">
      <c r="A811" s="178">
        <v>310</v>
      </c>
      <c r="B811" s="178" t="s">
        <v>631</v>
      </c>
      <c r="C811" s="178">
        <v>0</v>
      </c>
      <c r="D811" s="178">
        <v>0</v>
      </c>
      <c r="E811" s="178">
        <v>0</v>
      </c>
      <c r="F811">
        <v>0</v>
      </c>
      <c r="G811" t="s">
        <v>497</v>
      </c>
    </row>
    <row r="812" spans="1:9">
      <c r="A812" s="178">
        <v>320</v>
      </c>
      <c r="B812" s="178" t="s">
        <v>271</v>
      </c>
      <c r="C812" s="178">
        <v>121788.54</v>
      </c>
      <c r="D812" s="178">
        <v>8127100.86</v>
      </c>
      <c r="E812" s="178">
        <v>8248889.4</v>
      </c>
      <c r="F812">
        <v>121788.54</v>
      </c>
      <c r="G812" t="s">
        <v>497</v>
      </c>
    </row>
    <row r="813" spans="1:9">
      <c r="A813" s="178">
        <v>325</v>
      </c>
      <c r="B813" s="178" t="s">
        <v>272</v>
      </c>
      <c r="C813" s="178">
        <v>0</v>
      </c>
      <c r="D813" s="178">
        <v>0</v>
      </c>
      <c r="E813" s="178">
        <v>0</v>
      </c>
      <c r="F813">
        <v>0</v>
      </c>
      <c r="G813" t="s">
        <v>497</v>
      </c>
    </row>
    <row r="814" spans="1:9">
      <c r="A814" s="178">
        <v>330</v>
      </c>
      <c r="B814" s="178" t="s">
        <v>632</v>
      </c>
      <c r="C814" s="178">
        <v>0</v>
      </c>
      <c r="D814" s="178">
        <v>0</v>
      </c>
      <c r="E814" s="178">
        <v>0</v>
      </c>
      <c r="F814">
        <v>0</v>
      </c>
      <c r="G814" t="s">
        <v>497</v>
      </c>
    </row>
    <row r="815" spans="1:9">
      <c r="A815" s="178">
        <v>340</v>
      </c>
      <c r="B815" s="178" t="s">
        <v>633</v>
      </c>
      <c r="C815" s="178">
        <v>33680.4</v>
      </c>
      <c r="D815" s="178">
        <v>5799065.53</v>
      </c>
      <c r="E815" s="178">
        <v>5832745.93</v>
      </c>
      <c r="F815">
        <v>33680.4</v>
      </c>
      <c r="G815" t="s">
        <v>497</v>
      </c>
    </row>
    <row r="816" spans="1:9">
      <c r="A816" s="178">
        <v>380</v>
      </c>
      <c r="B816" s="178" t="s">
        <v>634</v>
      </c>
      <c r="C816" s="178">
        <v>-335412.9</v>
      </c>
      <c r="D816" s="178">
        <v>-10786327.26</v>
      </c>
      <c r="E816" s="178">
        <v>-11121740.16</v>
      </c>
      <c r="F816">
        <v>-335412.9</v>
      </c>
      <c r="G816" t="s">
        <v>497</v>
      </c>
    </row>
    <row r="817" spans="1:9">
      <c r="A817" s="178">
        <v>390</v>
      </c>
      <c r="B817" s="178" t="s">
        <v>273</v>
      </c>
      <c r="C817" s="178">
        <v>0</v>
      </c>
      <c r="D817" s="178">
        <v>0</v>
      </c>
      <c r="E817" s="178">
        <v>0</v>
      </c>
      <c r="F817">
        <v>0</v>
      </c>
      <c r="G817" t="s">
        <v>497</v>
      </c>
    </row>
    <row r="818" spans="1:9">
      <c r="A818" s="178">
        <v>400</v>
      </c>
      <c r="B818" s="178" t="s">
        <v>274</v>
      </c>
      <c r="C818" s="178">
        <v>0</v>
      </c>
      <c r="D818" s="178">
        <v>0</v>
      </c>
      <c r="E818" s="178">
        <v>0</v>
      </c>
      <c r="F818">
        <v>0</v>
      </c>
      <c r="G818" t="s">
        <v>497</v>
      </c>
    </row>
    <row r="819" spans="1:9">
      <c r="A819" s="178">
        <v>405</v>
      </c>
      <c r="B819" s="178" t="s">
        <v>275</v>
      </c>
      <c r="C819" s="178">
        <v>0</v>
      </c>
      <c r="D819" s="178">
        <v>223999.49</v>
      </c>
      <c r="E819" s="178">
        <v>223999.49</v>
      </c>
      <c r="F819">
        <v>0</v>
      </c>
      <c r="G819" t="s">
        <v>497</v>
      </c>
    </row>
    <row r="820" spans="1:9">
      <c r="A820" s="178">
        <v>410</v>
      </c>
      <c r="B820" s="178" t="s">
        <v>276</v>
      </c>
      <c r="C820" s="178">
        <v>0</v>
      </c>
      <c r="D820" s="178">
        <v>41834615.66</v>
      </c>
      <c r="E820" s="178">
        <v>41834615.66</v>
      </c>
      <c r="F820">
        <v>0</v>
      </c>
      <c r="G820" t="s">
        <v>497</v>
      </c>
    </row>
    <row r="821" spans="1:9">
      <c r="A821" s="178">
        <v>420</v>
      </c>
      <c r="B821" s="178" t="s">
        <v>277</v>
      </c>
      <c r="C821" s="178">
        <v>0</v>
      </c>
      <c r="D821" s="178">
        <v>0</v>
      </c>
      <c r="E821" s="178">
        <v>0</v>
      </c>
      <c r="F821">
        <v>0</v>
      </c>
      <c r="G821" t="s">
        <v>497</v>
      </c>
    </row>
    <row r="822" spans="1:9">
      <c r="A822" s="178">
        <v>425</v>
      </c>
      <c r="B822" s="178" t="s">
        <v>635</v>
      </c>
      <c r="C822" s="178">
        <v>0</v>
      </c>
      <c r="D822" s="178">
        <v>1340871.64</v>
      </c>
      <c r="E822" s="178">
        <v>1340871.64</v>
      </c>
      <c r="F822">
        <v>0</v>
      </c>
      <c r="G822" t="s">
        <v>497</v>
      </c>
    </row>
    <row r="823" spans="1:9">
      <c r="A823" s="178">
        <v>427</v>
      </c>
      <c r="B823" s="178" t="s">
        <v>636</v>
      </c>
      <c r="C823" s="178">
        <v>0</v>
      </c>
      <c r="D823" s="178">
        <v>0</v>
      </c>
      <c r="E823" s="178">
        <v>0</v>
      </c>
      <c r="F823">
        <v>0</v>
      </c>
      <c r="G823" t="s">
        <v>497</v>
      </c>
    </row>
    <row r="824" spans="1:9">
      <c r="A824" s="178">
        <v>430</v>
      </c>
      <c r="B824" s="178" t="s">
        <v>279</v>
      </c>
      <c r="C824" s="178">
        <v>0</v>
      </c>
      <c r="D824" s="178">
        <v>47655305.78</v>
      </c>
      <c r="E824" s="178">
        <v>47655305.78</v>
      </c>
      <c r="F824">
        <v>0</v>
      </c>
      <c r="G824" t="s">
        <v>497</v>
      </c>
    </row>
    <row r="825" spans="1:9">
      <c r="A825" s="178">
        <v>440</v>
      </c>
      <c r="B825" s="178" t="s">
        <v>280</v>
      </c>
      <c r="C825" s="178">
        <v>0</v>
      </c>
      <c r="D825" s="178">
        <v>91054792.57</v>
      </c>
      <c r="E825" s="178">
        <v>91054792.57</v>
      </c>
      <c r="F825">
        <v>0</v>
      </c>
      <c r="G825" t="s">
        <v>497</v>
      </c>
    </row>
    <row r="826" spans="1:9">
      <c r="A826" s="178">
        <v>450</v>
      </c>
      <c r="B826" s="178" t="s">
        <v>281</v>
      </c>
      <c r="C826" s="178">
        <v>0</v>
      </c>
      <c r="D826" s="178">
        <v>0</v>
      </c>
      <c r="E826" s="178">
        <v>0</v>
      </c>
      <c r="F826">
        <v>0</v>
      </c>
      <c r="G826" t="s">
        <v>497</v>
      </c>
    </row>
    <row r="827" spans="1:9">
      <c r="A827" s="178">
        <v>455</v>
      </c>
      <c r="B827" s="178" t="s">
        <v>282</v>
      </c>
      <c r="C827" s="178">
        <v>0</v>
      </c>
      <c r="D827" s="178">
        <v>-23351997.93</v>
      </c>
      <c r="E827" s="178">
        <v>-23351997.93</v>
      </c>
      <c r="F827">
        <v>0</v>
      </c>
      <c r="G827" t="s">
        <v>497</v>
      </c>
    </row>
    <row r="828" spans="1:9">
      <c r="A828" s="178">
        <v>456</v>
      </c>
      <c r="B828" s="178" t="s">
        <v>637</v>
      </c>
      <c r="C828" s="178">
        <v>37800</v>
      </c>
      <c r="D828" s="178">
        <v>13520170.51</v>
      </c>
      <c r="E828" s="178">
        <v>13557970.51</v>
      </c>
      <c r="F828">
        <v>37800</v>
      </c>
      <c r="G828" t="s">
        <v>497</v>
      </c>
    </row>
    <row r="829" spans="1:9">
      <c r="A829" s="178">
        <v>460</v>
      </c>
      <c r="B829" s="178" t="s">
        <v>283</v>
      </c>
      <c r="C829" s="178">
        <v>-392083.62</v>
      </c>
      <c r="D829" s="178">
        <v>-32217364.72</v>
      </c>
      <c r="E829" s="178">
        <v>-32609448.34</v>
      </c>
      <c r="F829">
        <v>-392083.62</v>
      </c>
      <c r="G829" t="s">
        <v>497</v>
      </c>
    </row>
    <row r="830" spans="1:9">
      <c r="A830" s="178">
        <v>470</v>
      </c>
      <c r="B830" s="178" t="s">
        <v>638</v>
      </c>
      <c r="C830" s="178">
        <v>107181.04</v>
      </c>
      <c r="D830" s="178">
        <v>16117304.61</v>
      </c>
      <c r="E830" s="178">
        <v>16224485.65</v>
      </c>
      <c r="F830">
        <v>107181.04</v>
      </c>
      <c r="G830" t="s">
        <v>497</v>
      </c>
    </row>
    <row r="831" spans="1:9">
      <c r="A831" s="178">
        <v>480</v>
      </c>
      <c r="B831" s="178" t="s">
        <v>284</v>
      </c>
      <c r="C831" s="178">
        <v>-50000</v>
      </c>
      <c r="D831" s="178">
        <v>-78480381.76</v>
      </c>
      <c r="E831" s="178">
        <v>-78530381.76</v>
      </c>
      <c r="F831">
        <v>-50000</v>
      </c>
      <c r="G831" t="s">
        <v>497</v>
      </c>
    </row>
    <row r="832" spans="1:9">
      <c r="A832" s="178">
        <v>490</v>
      </c>
      <c r="B832" s="178" t="s">
        <v>639</v>
      </c>
      <c r="C832" s="178">
        <v>424981.31</v>
      </c>
      <c r="D832" s="178">
        <v>38499075.04</v>
      </c>
      <c r="E832" s="178">
        <v>38924056.35</v>
      </c>
      <c r="F832">
        <v>424981.31</v>
      </c>
      <c r="G832" t="s">
        <v>497</v>
      </c>
    </row>
    <row r="833" spans="1:9">
      <c r="A833" s="178">
        <v>500</v>
      </c>
      <c r="B833" s="178" t="s">
        <v>285</v>
      </c>
      <c r="C833" s="178">
        <v>0</v>
      </c>
      <c r="D833" s="178">
        <v>-8068401.47</v>
      </c>
      <c r="E833" s="178">
        <v>-8068401.47</v>
      </c>
      <c r="F833">
        <v>0</v>
      </c>
      <c r="G833" t="s">
        <v>497</v>
      </c>
    </row>
    <row r="834" spans="1:9">
      <c r="A834" s="178">
        <v>510</v>
      </c>
      <c r="B834" s="178" t="s">
        <v>640</v>
      </c>
      <c r="C834" s="178">
        <v>55482.25</v>
      </c>
      <c r="D834" s="178">
        <v>4085082.55</v>
      </c>
      <c r="E834" s="178">
        <v>4140564.8</v>
      </c>
      <c r="F834">
        <v>55482.25</v>
      </c>
      <c r="G834" t="s">
        <v>497</v>
      </c>
    </row>
    <row r="835" spans="1:9">
      <c r="A835" s="178">
        <v>512</v>
      </c>
      <c r="B835" s="178" t="s">
        <v>286</v>
      </c>
      <c r="C835" s="178">
        <v>0</v>
      </c>
      <c r="D835" s="178">
        <v>-2422099.85</v>
      </c>
      <c r="E835" s="178">
        <v>-2422099.85</v>
      </c>
      <c r="F835">
        <v>0</v>
      </c>
      <c r="G835" t="s">
        <v>497</v>
      </c>
    </row>
    <row r="836" spans="1:9">
      <c r="A836" s="178">
        <v>514</v>
      </c>
      <c r="B836" s="178" t="s">
        <v>641</v>
      </c>
      <c r="C836" s="178">
        <v>6427.25</v>
      </c>
      <c r="D836" s="178">
        <v>1919699.91</v>
      </c>
      <c r="E836" s="178">
        <v>1926127.16</v>
      </c>
      <c r="F836">
        <v>6427.25</v>
      </c>
      <c r="G836" t="s">
        <v>497</v>
      </c>
    </row>
    <row r="837" spans="1:9">
      <c r="A837" s="178">
        <v>520</v>
      </c>
      <c r="B837" s="178" t="s">
        <v>642</v>
      </c>
      <c r="C837" s="178">
        <v>0</v>
      </c>
      <c r="D837" s="178">
        <v>-304735.17</v>
      </c>
      <c r="E837" s="178">
        <v>-304735.17</v>
      </c>
      <c r="F837">
        <v>0</v>
      </c>
      <c r="G837" t="s">
        <v>497</v>
      </c>
    </row>
    <row r="838" spans="1:9">
      <c r="A838" s="178">
        <v>530</v>
      </c>
      <c r="B838" s="178" t="s">
        <v>643</v>
      </c>
      <c r="C838" s="178">
        <v>0</v>
      </c>
      <c r="D838" s="178">
        <v>0</v>
      </c>
      <c r="E838" s="178">
        <v>0</v>
      </c>
      <c r="F838">
        <v>0</v>
      </c>
      <c r="G838" t="s">
        <v>497</v>
      </c>
    </row>
    <row r="839" spans="1:9">
      <c r="A839" s="178">
        <v>540</v>
      </c>
      <c r="B839" s="178" t="s">
        <v>644</v>
      </c>
      <c r="C839" s="178">
        <v>0</v>
      </c>
      <c r="D839" s="178">
        <v>-254716.8</v>
      </c>
      <c r="E839" s="178">
        <v>-254716.8</v>
      </c>
      <c r="F839">
        <v>0</v>
      </c>
      <c r="G839" t="s">
        <v>497</v>
      </c>
    </row>
    <row r="840" spans="1:9">
      <c r="A840" s="178">
        <v>550</v>
      </c>
      <c r="B840" s="178" t="s">
        <v>645</v>
      </c>
      <c r="C840" s="178">
        <v>0</v>
      </c>
      <c r="D840" s="178">
        <v>0</v>
      </c>
      <c r="E840" s="178">
        <v>0</v>
      </c>
      <c r="F840">
        <v>0</v>
      </c>
      <c r="G840" t="s">
        <v>497</v>
      </c>
    </row>
    <row r="841" spans="1:9">
      <c r="A841" s="178">
        <v>560</v>
      </c>
      <c r="B841" s="178" t="s">
        <v>646</v>
      </c>
      <c r="C841" s="178">
        <v>0</v>
      </c>
      <c r="D841" s="178">
        <v>0</v>
      </c>
      <c r="E841" s="178">
        <v>0</v>
      </c>
      <c r="F841">
        <v>0</v>
      </c>
      <c r="G841" t="s">
        <v>497</v>
      </c>
    </row>
    <row r="842" spans="1:9">
      <c r="A842" s="178">
        <v>570</v>
      </c>
      <c r="B842" s="178" t="s">
        <v>647</v>
      </c>
      <c r="C842" s="178">
        <v>0</v>
      </c>
      <c r="D842" s="178">
        <v>0</v>
      </c>
      <c r="E842" s="178">
        <v>0</v>
      </c>
      <c r="F842">
        <v>0</v>
      </c>
      <c r="G842" t="s">
        <v>497</v>
      </c>
    </row>
    <row r="843" spans="1:9">
      <c r="A843" s="178">
        <v>580</v>
      </c>
      <c r="B843" s="178" t="s">
        <v>290</v>
      </c>
      <c r="C843" s="178">
        <v>0</v>
      </c>
      <c r="D843" s="178">
        <v>0</v>
      </c>
      <c r="E843" s="178">
        <v>0</v>
      </c>
      <c r="F843">
        <v>0</v>
      </c>
      <c r="G843" t="s">
        <v>497</v>
      </c>
    </row>
    <row r="844" spans="1:9">
      <c r="A844" s="178">
        <v>590</v>
      </c>
      <c r="B844" s="178" t="s">
        <v>648</v>
      </c>
      <c r="C844" s="178">
        <v>0</v>
      </c>
      <c r="D844" s="178">
        <v>0</v>
      </c>
      <c r="E844" s="178">
        <v>0</v>
      </c>
      <c r="F844">
        <v>0</v>
      </c>
      <c r="G844" t="s">
        <v>497</v>
      </c>
    </row>
    <row r="845" spans="1:9">
      <c r="A845" s="178">
        <v>600</v>
      </c>
      <c r="B845" s="178" t="s">
        <v>291</v>
      </c>
      <c r="C845" s="178">
        <v>0</v>
      </c>
      <c r="D845" s="178">
        <v>0</v>
      </c>
      <c r="E845" s="178">
        <v>0</v>
      </c>
      <c r="F845">
        <v>0</v>
      </c>
      <c r="G845" t="s">
        <v>497</v>
      </c>
    </row>
    <row r="846" spans="1:9">
      <c r="A846" s="178">
        <v>610</v>
      </c>
      <c r="B846" s="178" t="s">
        <v>649</v>
      </c>
      <c r="C846" s="178">
        <v>0</v>
      </c>
      <c r="D846" s="178">
        <v>0</v>
      </c>
      <c r="E846" s="178">
        <v>0</v>
      </c>
      <c r="F846">
        <v>0</v>
      </c>
      <c r="G846" t="s">
        <v>497</v>
      </c>
    </row>
    <row r="847" spans="1:9">
      <c r="A847" s="178">
        <v>615</v>
      </c>
      <c r="B847" s="178" t="s">
        <v>674</v>
      </c>
      <c r="C847" s="178">
        <v>0</v>
      </c>
      <c r="D847" s="178">
        <v>-5534458.9</v>
      </c>
      <c r="E847" s="178">
        <v>-5534458.9</v>
      </c>
      <c r="F847">
        <v>0</v>
      </c>
      <c r="G847" t="s">
        <v>497</v>
      </c>
    </row>
    <row r="848" spans="1:9">
      <c r="A848" s="178">
        <v>620</v>
      </c>
      <c r="B848" s="178" t="s">
        <v>292</v>
      </c>
      <c r="C848" s="178">
        <v>0</v>
      </c>
      <c r="D848" s="178">
        <v>0</v>
      </c>
      <c r="E848" s="178">
        <v>0</v>
      </c>
      <c r="F848">
        <v>0</v>
      </c>
      <c r="G848" t="s">
        <v>497</v>
      </c>
    </row>
    <row r="849" spans="1:9">
      <c r="A849" s="178">
        <v>630</v>
      </c>
      <c r="B849" s="178" t="s">
        <v>293</v>
      </c>
      <c r="C849" s="178">
        <v>0</v>
      </c>
      <c r="D849" s="178">
        <v>-139999</v>
      </c>
      <c r="E849" s="178">
        <v>-139999</v>
      </c>
      <c r="F849">
        <v>0</v>
      </c>
      <c r="G849" t="s">
        <v>497</v>
      </c>
    </row>
    <row r="850" spans="1:9">
      <c r="A850" s="178">
        <v>635</v>
      </c>
      <c r="B850" s="178" t="s">
        <v>675</v>
      </c>
      <c r="C850" s="178">
        <v>0</v>
      </c>
      <c r="D850" s="178">
        <v>-1041385.1</v>
      </c>
      <c r="E850" s="178">
        <v>-1041385.1</v>
      </c>
      <c r="F850">
        <v>0</v>
      </c>
      <c r="G850" t="s">
        <v>497</v>
      </c>
    </row>
    <row r="851" spans="1:9">
      <c r="A851" s="178">
        <v>640</v>
      </c>
      <c r="B851" s="178" t="s">
        <v>294</v>
      </c>
      <c r="C851" s="178">
        <v>189788.23</v>
      </c>
      <c r="D851" s="178">
        <v>-77674208.08</v>
      </c>
      <c r="E851" s="178">
        <v>-77484419.85</v>
      </c>
      <c r="F851">
        <v>189788.23</v>
      </c>
      <c r="G851" t="s">
        <v>497</v>
      </c>
    </row>
    <row r="852" spans="1:9">
      <c r="A852" s="178">
        <v>650</v>
      </c>
      <c r="B852" s="178" t="s">
        <v>295</v>
      </c>
      <c r="C852" s="178">
        <v>2393432.62</v>
      </c>
      <c r="D852" s="178">
        <v>2594257.23</v>
      </c>
      <c r="E852" s="178">
        <v>4987689.85</v>
      </c>
      <c r="F852">
        <v>2393432.62</v>
      </c>
      <c r="G852" t="s">
        <v>497</v>
      </c>
    </row>
    <row r="853" spans="1:9">
      <c r="A853" s="178" t="s">
        <v>448</v>
      </c>
      <c r="B853" s="178" t="s">
        <v>402</v>
      </c>
      <c r="C853" s="178" t="s">
        <v>609</v>
      </c>
      <c r="D853" s="178" t="s">
        <v>610</v>
      </c>
      <c r="E853" s="178" t="s">
        <v>611</v>
      </c>
      <c r="F853" t="s">
        <v>612</v>
      </c>
      <c r="G853" t="s">
        <v>405</v>
      </c>
    </row>
    <row r="854" spans="1:9">
      <c r="A854" s="178">
        <v>10</v>
      </c>
      <c r="B854" s="178" t="s">
        <v>613</v>
      </c>
      <c r="C854" s="178">
        <v>0</v>
      </c>
      <c r="D854" s="178">
        <v>0</v>
      </c>
      <c r="E854" s="178">
        <v>0</v>
      </c>
      <c r="F854">
        <v>0</v>
      </c>
      <c r="G854" t="s">
        <v>497</v>
      </c>
    </row>
    <row r="855" spans="1:9">
      <c r="A855" s="178">
        <v>20</v>
      </c>
      <c r="B855" s="178" t="s">
        <v>406</v>
      </c>
      <c r="C855" s="178">
        <v>18709977.35</v>
      </c>
      <c r="D855" s="178">
        <v>0</v>
      </c>
      <c r="E855" s="178">
        <v>18709977.35</v>
      </c>
      <c r="F855">
        <v>18709977.35</v>
      </c>
      <c r="G855" t="s">
        <v>497</v>
      </c>
    </row>
    <row r="856" spans="1:9">
      <c r="A856" s="178">
        <v>30</v>
      </c>
      <c r="B856" s="178" t="s">
        <v>614</v>
      </c>
      <c r="C856" s="178">
        <v>448399.85</v>
      </c>
      <c r="D856" s="178">
        <v>0</v>
      </c>
      <c r="E856" s="178">
        <v>448399.85</v>
      </c>
      <c r="F856">
        <v>448399.85</v>
      </c>
      <c r="G856" t="s">
        <v>497</v>
      </c>
    </row>
    <row r="857" spans="1:9">
      <c r="A857" s="178">
        <v>35</v>
      </c>
      <c r="B857" s="178" t="s">
        <v>615</v>
      </c>
      <c r="C857" s="178">
        <v>18261577.5</v>
      </c>
      <c r="D857" s="178">
        <v>0</v>
      </c>
      <c r="E857" s="178">
        <v>18261577.5</v>
      </c>
      <c r="F857">
        <v>18261577.5</v>
      </c>
      <c r="G857" t="s">
        <v>497</v>
      </c>
    </row>
    <row r="858" spans="1:9">
      <c r="A858" s="178">
        <v>40</v>
      </c>
      <c r="B858" s="178" t="s">
        <v>616</v>
      </c>
      <c r="C858" s="178">
        <v>10487621</v>
      </c>
      <c r="D858" s="178">
        <v>0</v>
      </c>
      <c r="E858" s="178">
        <v>10487621</v>
      </c>
      <c r="F858">
        <v>10487621</v>
      </c>
      <c r="G858" t="s">
        <v>497</v>
      </c>
    </row>
    <row r="859" spans="1:9">
      <c r="A859" s="178">
        <v>50</v>
      </c>
      <c r="B859" s="178" t="s">
        <v>617</v>
      </c>
      <c r="C859" s="178">
        <v>0</v>
      </c>
      <c r="D859" s="178">
        <v>0</v>
      </c>
      <c r="E859" s="178">
        <v>0</v>
      </c>
      <c r="F859">
        <v>0</v>
      </c>
      <c r="G859" t="s">
        <v>497</v>
      </c>
    </row>
    <row r="860" spans="1:9">
      <c r="A860" s="178">
        <v>60</v>
      </c>
      <c r="B860" s="178" t="s">
        <v>618</v>
      </c>
      <c r="C860" s="178">
        <v>7773956.5</v>
      </c>
      <c r="D860" s="178">
        <v>0</v>
      </c>
      <c r="E860" s="178">
        <v>7773956.5</v>
      </c>
      <c r="F860">
        <v>7773956.5</v>
      </c>
      <c r="G860" t="s">
        <v>497</v>
      </c>
    </row>
    <row r="861" spans="1:9">
      <c r="A861" s="178">
        <v>70</v>
      </c>
      <c r="B861" s="178" t="s">
        <v>412</v>
      </c>
      <c r="C861" s="178">
        <v>3721745.33</v>
      </c>
      <c r="D861" s="178">
        <v>0</v>
      </c>
      <c r="E861" s="178">
        <v>3721745.33</v>
      </c>
      <c r="F861">
        <v>3721745.33</v>
      </c>
      <c r="G861" t="s">
        <v>497</v>
      </c>
    </row>
    <row r="862" spans="1:9">
      <c r="A862" s="178">
        <v>80</v>
      </c>
      <c r="B862" s="178" t="s">
        <v>413</v>
      </c>
      <c r="C862" s="178">
        <v>499306.31</v>
      </c>
      <c r="D862" s="178">
        <v>0</v>
      </c>
      <c r="E862" s="178">
        <v>499306.31</v>
      </c>
      <c r="F862">
        <v>499306.31</v>
      </c>
      <c r="G862" t="s">
        <v>497</v>
      </c>
    </row>
    <row r="863" spans="1:9">
      <c r="A863" s="178">
        <v>90</v>
      </c>
      <c r="B863" s="178" t="s">
        <v>619</v>
      </c>
      <c r="C863" s="178">
        <v>355089</v>
      </c>
      <c r="D863" s="178">
        <v>0</v>
      </c>
      <c r="E863" s="178">
        <v>355089</v>
      </c>
      <c r="F863">
        <v>355089</v>
      </c>
      <c r="G863" t="s">
        <v>497</v>
      </c>
    </row>
    <row r="864" spans="1:9">
      <c r="A864" s="178">
        <v>100</v>
      </c>
      <c r="B864" s="178" t="s">
        <v>620</v>
      </c>
      <c r="C864" s="178">
        <v>3197815.86</v>
      </c>
      <c r="D864" s="178">
        <v>0</v>
      </c>
      <c r="E864" s="178">
        <v>3197815.86</v>
      </c>
      <c r="F864">
        <v>3197815.86</v>
      </c>
      <c r="G864" t="s">
        <v>497</v>
      </c>
    </row>
    <row r="865" spans="1:9">
      <c r="A865" s="178">
        <v>110</v>
      </c>
      <c r="B865" s="178" t="s">
        <v>621</v>
      </c>
      <c r="C865" s="178">
        <v>0</v>
      </c>
      <c r="D865" s="178">
        <v>0</v>
      </c>
      <c r="E865" s="178">
        <v>0</v>
      </c>
      <c r="F865">
        <v>0</v>
      </c>
      <c r="G865" t="s">
        <v>497</v>
      </c>
    </row>
    <row r="866" spans="1:9">
      <c r="A866" s="178">
        <v>120</v>
      </c>
      <c r="B866" s="178" t="s">
        <v>622</v>
      </c>
      <c r="C866" s="178">
        <v>0</v>
      </c>
      <c r="D866" s="178">
        <v>0</v>
      </c>
      <c r="E866" s="178">
        <v>0</v>
      </c>
      <c r="F866">
        <v>0</v>
      </c>
      <c r="G866" t="s">
        <v>497</v>
      </c>
    </row>
    <row r="867" spans="1:9">
      <c r="A867" s="178">
        <v>130</v>
      </c>
      <c r="B867" s="178" t="s">
        <v>623</v>
      </c>
      <c r="C867" s="178">
        <v>30735.5</v>
      </c>
      <c r="D867" s="178">
        <v>0</v>
      </c>
      <c r="E867" s="178">
        <v>30735.5</v>
      </c>
      <c r="F867">
        <v>30735.5</v>
      </c>
      <c r="G867" t="s">
        <v>497</v>
      </c>
    </row>
    <row r="868" spans="1:9">
      <c r="A868" s="178">
        <v>140</v>
      </c>
      <c r="B868" s="178" t="s">
        <v>624</v>
      </c>
      <c r="C868" s="178">
        <v>130010.97</v>
      </c>
      <c r="D868" s="178">
        <v>0</v>
      </c>
      <c r="E868" s="178">
        <v>130010.97</v>
      </c>
      <c r="F868">
        <v>130010.97</v>
      </c>
      <c r="G868" t="s">
        <v>497</v>
      </c>
    </row>
    <row r="869" spans="1:9">
      <c r="A869" s="178">
        <v>145</v>
      </c>
      <c r="B869" s="178" t="s">
        <v>422</v>
      </c>
      <c r="C869" s="178">
        <v>-99275.47</v>
      </c>
      <c r="D869" s="178">
        <v>0</v>
      </c>
      <c r="E869" s="178">
        <v>-99275.47</v>
      </c>
      <c r="F869">
        <v>-99275.47</v>
      </c>
      <c r="G869" t="s">
        <v>497</v>
      </c>
    </row>
    <row r="870" spans="1:9">
      <c r="A870" s="178">
        <v>150</v>
      </c>
      <c r="B870" s="178" t="s">
        <v>625</v>
      </c>
      <c r="C870" s="178">
        <v>3297091.33</v>
      </c>
      <c r="D870" s="178">
        <v>0</v>
      </c>
      <c r="E870" s="178">
        <v>3297091.33</v>
      </c>
      <c r="F870">
        <v>3297091.33</v>
      </c>
      <c r="G870" t="s">
        <v>497</v>
      </c>
    </row>
    <row r="871" spans="1:9">
      <c r="A871" s="178">
        <v>160</v>
      </c>
      <c r="B871" s="178" t="s">
        <v>626</v>
      </c>
      <c r="C871" s="178">
        <v>910537</v>
      </c>
      <c r="D871" s="178">
        <v>0</v>
      </c>
      <c r="E871" s="178">
        <v>910537</v>
      </c>
      <c r="F871">
        <v>910537</v>
      </c>
      <c r="G871" t="s">
        <v>497</v>
      </c>
    </row>
    <row r="872" spans="1:9">
      <c r="A872" s="178">
        <v>170</v>
      </c>
      <c r="B872" s="178" t="s">
        <v>426</v>
      </c>
      <c r="C872" s="178">
        <v>2386554.33</v>
      </c>
      <c r="D872" s="178">
        <v>0</v>
      </c>
      <c r="E872" s="178">
        <v>2386554.33</v>
      </c>
      <c r="F872">
        <v>2386554.33</v>
      </c>
      <c r="G872" t="s">
        <v>497</v>
      </c>
    </row>
    <row r="873" spans="1:9">
      <c r="A873" s="178">
        <v>190</v>
      </c>
      <c r="B873" s="178" t="s">
        <v>627</v>
      </c>
      <c r="C873" s="178">
        <v>0</v>
      </c>
      <c r="D873" s="178">
        <v>0</v>
      </c>
      <c r="E873" s="178">
        <v>0</v>
      </c>
      <c r="F873">
        <v>0</v>
      </c>
      <c r="G873" t="s">
        <v>497</v>
      </c>
    </row>
    <row r="874" spans="1:9">
      <c r="A874" s="178">
        <v>200</v>
      </c>
      <c r="B874" s="178" t="s">
        <v>426</v>
      </c>
      <c r="C874" s="178">
        <v>2386554.33</v>
      </c>
      <c r="D874" s="178">
        <v>0</v>
      </c>
      <c r="E874" s="178">
        <v>2386554.33</v>
      </c>
      <c r="F874">
        <v>2386554.33</v>
      </c>
      <c r="G874" t="s">
        <v>497</v>
      </c>
    </row>
    <row r="875" spans="1:9">
      <c r="A875" s="178">
        <v>210</v>
      </c>
      <c r="B875" s="178" t="s">
        <v>264</v>
      </c>
      <c r="C875" s="178">
        <v>2386554.33</v>
      </c>
      <c r="D875" s="178">
        <v>0</v>
      </c>
      <c r="E875" s="178">
        <v>2386554.33</v>
      </c>
      <c r="F875">
        <v>2386554.33</v>
      </c>
      <c r="G875" t="s">
        <v>497</v>
      </c>
    </row>
    <row r="876" spans="1:9">
      <c r="A876" s="178">
        <v>220</v>
      </c>
      <c r="B876" s="178" t="s">
        <v>628</v>
      </c>
      <c r="C876" s="178">
        <v>0</v>
      </c>
      <c r="D876" s="178">
        <v>0</v>
      </c>
      <c r="E876" s="178">
        <v>0</v>
      </c>
      <c r="F876">
        <v>0</v>
      </c>
      <c r="G876" t="s">
        <v>497</v>
      </c>
    </row>
    <row r="877" spans="1:9">
      <c r="A877" s="178">
        <v>230</v>
      </c>
      <c r="B877" s="178" t="s">
        <v>266</v>
      </c>
      <c r="C877" s="178">
        <v>36329.87</v>
      </c>
      <c r="D877" s="178">
        <v>-11543562.19</v>
      </c>
      <c r="E877" s="178">
        <v>-11507232.32</v>
      </c>
      <c r="F877">
        <v>36329.87</v>
      </c>
      <c r="G877" t="s">
        <v>497</v>
      </c>
    </row>
    <row r="878" spans="1:9">
      <c r="A878" s="178">
        <v>235</v>
      </c>
      <c r="B878" s="178" t="s">
        <v>629</v>
      </c>
      <c r="C878" s="178">
        <v>-24168</v>
      </c>
      <c r="D878" s="178">
        <v>0</v>
      </c>
      <c r="E878" s="178">
        <v>-24168</v>
      </c>
      <c r="F878">
        <v>-24168</v>
      </c>
      <c r="G878" t="s">
        <v>497</v>
      </c>
    </row>
    <row r="879" spans="1:9">
      <c r="A879" s="178">
        <v>240</v>
      </c>
      <c r="B879" s="178" t="s">
        <v>267</v>
      </c>
      <c r="C879" s="178">
        <v>-123663.06</v>
      </c>
      <c r="D879" s="178">
        <v>-225440.32</v>
      </c>
      <c r="E879" s="178">
        <v>-349103.38</v>
      </c>
      <c r="F879">
        <v>-123663.06</v>
      </c>
      <c r="G879" t="s">
        <v>497</v>
      </c>
    </row>
    <row r="880" spans="1:9">
      <c r="A880" s="178">
        <v>250</v>
      </c>
      <c r="B880" s="178" t="s">
        <v>268</v>
      </c>
      <c r="C880" s="178">
        <v>-838230.19</v>
      </c>
      <c r="D880" s="178">
        <v>-2225559.84</v>
      </c>
      <c r="E880" s="178">
        <v>-3063790.03</v>
      </c>
      <c r="F880">
        <v>-838230.19</v>
      </c>
      <c r="G880" t="s">
        <v>497</v>
      </c>
    </row>
    <row r="881" spans="1:9">
      <c r="A881" s="178">
        <v>260</v>
      </c>
      <c r="B881" s="178" t="s">
        <v>630</v>
      </c>
      <c r="C881" s="178">
        <v>0</v>
      </c>
      <c r="D881" s="178">
        <v>0</v>
      </c>
      <c r="E881" s="178">
        <v>0</v>
      </c>
      <c r="F881">
        <v>0</v>
      </c>
      <c r="G881" t="s">
        <v>497</v>
      </c>
    </row>
    <row r="882" spans="1:9">
      <c r="A882" s="178">
        <v>270</v>
      </c>
      <c r="B882" s="178" t="s">
        <v>269</v>
      </c>
      <c r="C882" s="178">
        <v>-130486.56</v>
      </c>
      <c r="D882" s="178">
        <v>-3004574.79</v>
      </c>
      <c r="E882" s="178">
        <v>-3135061.35</v>
      </c>
      <c r="F882">
        <v>-130486.56</v>
      </c>
      <c r="G882" t="s">
        <v>497</v>
      </c>
    </row>
    <row r="883" spans="1:9">
      <c r="A883" s="178">
        <v>300</v>
      </c>
      <c r="B883" s="178" t="s">
        <v>270</v>
      </c>
      <c r="C883" s="178">
        <v>449431.13</v>
      </c>
      <c r="D883" s="178">
        <v>590133.08</v>
      </c>
      <c r="E883" s="178">
        <v>1039564.21</v>
      </c>
      <c r="F883">
        <v>449431.13</v>
      </c>
      <c r="G883" t="s">
        <v>497</v>
      </c>
    </row>
    <row r="884" spans="1:9">
      <c r="A884" s="178">
        <v>310</v>
      </c>
      <c r="B884" s="178" t="s">
        <v>631</v>
      </c>
      <c r="C884" s="178">
        <v>0</v>
      </c>
      <c r="D884" s="178">
        <v>0</v>
      </c>
      <c r="E884" s="178">
        <v>0</v>
      </c>
      <c r="F884">
        <v>0</v>
      </c>
      <c r="G884" t="s">
        <v>497</v>
      </c>
    </row>
    <row r="885" spans="1:9">
      <c r="A885" s="178">
        <v>320</v>
      </c>
      <c r="B885" s="178" t="s">
        <v>271</v>
      </c>
      <c r="C885" s="178">
        <v>0</v>
      </c>
      <c r="D885" s="178">
        <v>0</v>
      </c>
      <c r="E885" s="178">
        <v>0</v>
      </c>
      <c r="F885">
        <v>0</v>
      </c>
      <c r="G885" t="s">
        <v>497</v>
      </c>
    </row>
    <row r="886" spans="1:9">
      <c r="A886" s="178">
        <v>325</v>
      </c>
      <c r="B886" s="178" t="s">
        <v>272</v>
      </c>
      <c r="C886" s="178">
        <v>0</v>
      </c>
      <c r="D886" s="178">
        <v>3503307.94</v>
      </c>
      <c r="E886" s="178">
        <v>3503307.94</v>
      </c>
      <c r="F886">
        <v>0</v>
      </c>
      <c r="G886" t="s">
        <v>497</v>
      </c>
    </row>
    <row r="887" spans="1:9">
      <c r="A887" s="178">
        <v>330</v>
      </c>
      <c r="B887" s="178" t="s">
        <v>632</v>
      </c>
      <c r="C887" s="178">
        <v>0</v>
      </c>
      <c r="D887" s="178">
        <v>0</v>
      </c>
      <c r="E887" s="178">
        <v>0</v>
      </c>
      <c r="F887">
        <v>0</v>
      </c>
      <c r="G887" t="s">
        <v>497</v>
      </c>
    </row>
    <row r="888" spans="1:9">
      <c r="A888" s="178">
        <v>340</v>
      </c>
      <c r="B888" s="178" t="s">
        <v>633</v>
      </c>
      <c r="C888" s="178">
        <v>-493232.67</v>
      </c>
      <c r="D888" s="178">
        <v>2642308.75</v>
      </c>
      <c r="E888" s="178">
        <v>2149076.08</v>
      </c>
      <c r="F888">
        <v>-493232.67</v>
      </c>
      <c r="G888" t="s">
        <v>497</v>
      </c>
    </row>
    <row r="889" spans="1:9">
      <c r="A889" s="178">
        <v>380</v>
      </c>
      <c r="B889" s="178" t="s">
        <v>634</v>
      </c>
      <c r="C889" s="178">
        <v>-1124019.48</v>
      </c>
      <c r="D889" s="178">
        <v>-10263387.37</v>
      </c>
      <c r="E889" s="178">
        <v>-11387406.85</v>
      </c>
      <c r="F889">
        <v>-1124019.48</v>
      </c>
      <c r="G889" t="s">
        <v>497</v>
      </c>
    </row>
    <row r="890" spans="1:9">
      <c r="A890" s="178">
        <v>390</v>
      </c>
      <c r="B890" s="178" t="s">
        <v>273</v>
      </c>
      <c r="C890" s="178">
        <v>0</v>
      </c>
      <c r="D890" s="178">
        <v>0</v>
      </c>
      <c r="E890" s="178">
        <v>0</v>
      </c>
      <c r="F890">
        <v>0</v>
      </c>
      <c r="G890" t="s">
        <v>497</v>
      </c>
    </row>
    <row r="891" spans="1:9">
      <c r="A891" s="178">
        <v>400</v>
      </c>
      <c r="B891" s="178" t="s">
        <v>274</v>
      </c>
      <c r="C891" s="178">
        <v>0</v>
      </c>
      <c r="D891" s="178">
        <v>0</v>
      </c>
      <c r="E891" s="178">
        <v>0</v>
      </c>
      <c r="F891">
        <v>0</v>
      </c>
      <c r="G891" t="s">
        <v>497</v>
      </c>
    </row>
    <row r="892" spans="1:9">
      <c r="A892" s="178">
        <v>405</v>
      </c>
      <c r="B892" s="178" t="s">
        <v>275</v>
      </c>
      <c r="C892" s="178">
        <v>69000</v>
      </c>
      <c r="D892" s="178">
        <v>0</v>
      </c>
      <c r="E892" s="178">
        <v>69000</v>
      </c>
      <c r="F892">
        <v>69000</v>
      </c>
      <c r="G892" t="s">
        <v>497</v>
      </c>
    </row>
    <row r="893" spans="1:9">
      <c r="A893" s="178">
        <v>410</v>
      </c>
      <c r="B893" s="178" t="s">
        <v>276</v>
      </c>
      <c r="C893" s="178">
        <v>0</v>
      </c>
      <c r="D893" s="178">
        <v>23634000</v>
      </c>
      <c r="E893" s="178">
        <v>23634000</v>
      </c>
      <c r="F893">
        <v>0</v>
      </c>
      <c r="G893" t="s">
        <v>497</v>
      </c>
    </row>
    <row r="894" spans="1:9">
      <c r="A894" s="178">
        <v>420</v>
      </c>
      <c r="B894" s="178" t="s">
        <v>277</v>
      </c>
      <c r="C894" s="178">
        <v>0</v>
      </c>
      <c r="D894" s="178">
        <v>14722083.75</v>
      </c>
      <c r="E894" s="178">
        <v>14722083.75</v>
      </c>
      <c r="F894">
        <v>0</v>
      </c>
      <c r="G894" t="s">
        <v>497</v>
      </c>
    </row>
    <row r="895" spans="1:9">
      <c r="A895" s="178">
        <v>425</v>
      </c>
      <c r="B895" s="178" t="s">
        <v>635</v>
      </c>
      <c r="C895" s="178">
        <v>0</v>
      </c>
      <c r="D895" s="178">
        <v>48539.12</v>
      </c>
      <c r="E895" s="178">
        <v>48539.12</v>
      </c>
      <c r="F895">
        <v>0</v>
      </c>
      <c r="G895" t="s">
        <v>497</v>
      </c>
    </row>
    <row r="896" spans="1:9">
      <c r="A896" s="178">
        <v>427</v>
      </c>
      <c r="B896" s="178" t="s">
        <v>636</v>
      </c>
      <c r="C896" s="178">
        <v>0</v>
      </c>
      <c r="D896" s="178">
        <v>0</v>
      </c>
      <c r="E896" s="178">
        <v>0</v>
      </c>
      <c r="F896">
        <v>0</v>
      </c>
      <c r="G896" t="s">
        <v>497</v>
      </c>
    </row>
    <row r="897" spans="1:9">
      <c r="A897" s="178">
        <v>430</v>
      </c>
      <c r="B897" s="178" t="s">
        <v>279</v>
      </c>
      <c r="C897" s="178">
        <v>0</v>
      </c>
      <c r="D897" s="178">
        <v>30754030.22</v>
      </c>
      <c r="E897" s="178">
        <v>30754030.22</v>
      </c>
      <c r="F897">
        <v>0</v>
      </c>
      <c r="G897" t="s">
        <v>497</v>
      </c>
    </row>
    <row r="898" spans="1:9">
      <c r="A898" s="178">
        <v>440</v>
      </c>
      <c r="B898" s="178" t="s">
        <v>280</v>
      </c>
      <c r="C898" s="178">
        <v>69000</v>
      </c>
      <c r="D898" s="178">
        <v>69158653.09</v>
      </c>
      <c r="E898" s="178">
        <v>69227653.09</v>
      </c>
      <c r="F898">
        <v>69000</v>
      </c>
      <c r="G898" t="s">
        <v>497</v>
      </c>
    </row>
    <row r="899" spans="1:9">
      <c r="A899" s="178">
        <v>450</v>
      </c>
      <c r="B899" s="178" t="s">
        <v>281</v>
      </c>
      <c r="C899" s="178">
        <v>0</v>
      </c>
      <c r="D899" s="178">
        <v>0</v>
      </c>
      <c r="E899" s="178">
        <v>0</v>
      </c>
      <c r="F899">
        <v>0</v>
      </c>
      <c r="G899" t="s">
        <v>497</v>
      </c>
    </row>
    <row r="900" spans="1:9">
      <c r="A900" s="178">
        <v>455</v>
      </c>
      <c r="B900" s="178" t="s">
        <v>282</v>
      </c>
      <c r="C900" s="178">
        <v>0</v>
      </c>
      <c r="D900" s="178">
        <v>-9041272.49</v>
      </c>
      <c r="E900" s="178">
        <v>-9041272.49</v>
      </c>
      <c r="F900">
        <v>0</v>
      </c>
      <c r="G900" t="s">
        <v>497</v>
      </c>
    </row>
    <row r="901" spans="1:9">
      <c r="A901" s="178">
        <v>456</v>
      </c>
      <c r="B901" s="178" t="s">
        <v>637</v>
      </c>
      <c r="C901" s="178">
        <v>1721</v>
      </c>
      <c r="D901" s="178">
        <v>825324.34</v>
      </c>
      <c r="E901" s="178">
        <v>827045.34</v>
      </c>
      <c r="F901">
        <v>1721</v>
      </c>
      <c r="G901" t="s">
        <v>497</v>
      </c>
    </row>
    <row r="902" spans="1:9">
      <c r="A902" s="178">
        <v>460</v>
      </c>
      <c r="B902" s="178" t="s">
        <v>283</v>
      </c>
      <c r="C902" s="178">
        <v>-25240.56</v>
      </c>
      <c r="D902" s="178">
        <v>-29475540.76</v>
      </c>
      <c r="E902" s="178">
        <v>-29500781.32</v>
      </c>
      <c r="F902">
        <v>-25240.56</v>
      </c>
      <c r="G902" t="s">
        <v>497</v>
      </c>
    </row>
    <row r="903" spans="1:9">
      <c r="A903" s="178">
        <v>470</v>
      </c>
      <c r="B903" s="178" t="s">
        <v>638</v>
      </c>
      <c r="C903" s="178">
        <v>121568</v>
      </c>
      <c r="D903" s="178">
        <v>25389864.84</v>
      </c>
      <c r="E903" s="178">
        <v>25511432.84</v>
      </c>
      <c r="F903">
        <v>121568</v>
      </c>
      <c r="G903" t="s">
        <v>497</v>
      </c>
    </row>
    <row r="904" spans="1:9">
      <c r="A904" s="178">
        <v>480</v>
      </c>
      <c r="B904" s="178" t="s">
        <v>284</v>
      </c>
      <c r="C904" s="178">
        <v>0</v>
      </c>
      <c r="D904" s="178">
        <v>-45486347.84</v>
      </c>
      <c r="E904" s="178">
        <v>-45486347.84</v>
      </c>
      <c r="F904">
        <v>0</v>
      </c>
      <c r="G904" t="s">
        <v>497</v>
      </c>
    </row>
    <row r="905" spans="1:9">
      <c r="A905" s="178">
        <v>490</v>
      </c>
      <c r="B905" s="178" t="s">
        <v>639</v>
      </c>
      <c r="C905" s="178">
        <v>222643</v>
      </c>
      <c r="D905" s="178">
        <v>27974701.52</v>
      </c>
      <c r="E905" s="178">
        <v>28197344.52</v>
      </c>
      <c r="F905">
        <v>222643</v>
      </c>
      <c r="G905" t="s">
        <v>497</v>
      </c>
    </row>
    <row r="906" spans="1:9">
      <c r="A906" s="178">
        <v>500</v>
      </c>
      <c r="B906" s="178" t="s">
        <v>285</v>
      </c>
      <c r="C906" s="178">
        <v>0</v>
      </c>
      <c r="D906" s="178">
        <v>-988663.97</v>
      </c>
      <c r="E906" s="178">
        <v>-988663.97</v>
      </c>
      <c r="F906">
        <v>0</v>
      </c>
      <c r="G906" t="s">
        <v>497</v>
      </c>
    </row>
    <row r="907" spans="1:9">
      <c r="A907" s="178">
        <v>510</v>
      </c>
      <c r="B907" s="178" t="s">
        <v>640</v>
      </c>
      <c r="C907" s="178">
        <v>6722</v>
      </c>
      <c r="D907" s="178">
        <v>1076549.42</v>
      </c>
      <c r="E907" s="178">
        <v>1083271.42</v>
      </c>
      <c r="F907">
        <v>6722</v>
      </c>
      <c r="G907" t="s">
        <v>497</v>
      </c>
    </row>
    <row r="908" spans="1:9">
      <c r="A908" s="178">
        <v>512</v>
      </c>
      <c r="B908" s="178" t="s">
        <v>286</v>
      </c>
      <c r="C908" s="178">
        <v>0</v>
      </c>
      <c r="D908" s="178">
        <v>-1368234.09</v>
      </c>
      <c r="E908" s="178">
        <v>-1368234.09</v>
      </c>
      <c r="F908">
        <v>0</v>
      </c>
      <c r="G908" t="s">
        <v>497</v>
      </c>
    </row>
    <row r="909" spans="1:9">
      <c r="A909" s="178">
        <v>514</v>
      </c>
      <c r="B909" s="178" t="s">
        <v>641</v>
      </c>
      <c r="C909" s="178">
        <v>2435</v>
      </c>
      <c r="D909" s="178">
        <v>1135309.96</v>
      </c>
      <c r="E909" s="178">
        <v>1137744.96</v>
      </c>
      <c r="F909">
        <v>2435</v>
      </c>
      <c r="G909" t="s">
        <v>497</v>
      </c>
    </row>
    <row r="910" spans="1:9">
      <c r="A910" s="178">
        <v>520</v>
      </c>
      <c r="B910" s="178" t="s">
        <v>642</v>
      </c>
      <c r="C910" s="178">
        <v>0</v>
      </c>
      <c r="D910" s="178">
        <v>-167250.17</v>
      </c>
      <c r="E910" s="178">
        <v>-167250.17</v>
      </c>
      <c r="F910">
        <v>0</v>
      </c>
      <c r="G910" t="s">
        <v>497</v>
      </c>
    </row>
    <row r="911" spans="1:9">
      <c r="A911" s="178">
        <v>530</v>
      </c>
      <c r="B911" s="178" t="s">
        <v>643</v>
      </c>
      <c r="C911" s="178">
        <v>0</v>
      </c>
      <c r="D911" s="178">
        <v>0</v>
      </c>
      <c r="E911" s="178">
        <v>0</v>
      </c>
      <c r="F911">
        <v>0</v>
      </c>
      <c r="G911" t="s">
        <v>497</v>
      </c>
    </row>
    <row r="912" spans="1:9">
      <c r="A912" s="178">
        <v>540</v>
      </c>
      <c r="B912" s="178" t="s">
        <v>644</v>
      </c>
      <c r="C912" s="178">
        <v>0</v>
      </c>
      <c r="D912" s="178">
        <v>0</v>
      </c>
      <c r="E912" s="178">
        <v>0</v>
      </c>
      <c r="F912">
        <v>0</v>
      </c>
      <c r="G912" t="s">
        <v>497</v>
      </c>
    </row>
    <row r="913" spans="1:9">
      <c r="A913" s="178">
        <v>550</v>
      </c>
      <c r="B913" s="178" t="s">
        <v>645</v>
      </c>
      <c r="C913" s="178">
        <v>0</v>
      </c>
      <c r="D913" s="178">
        <v>0</v>
      </c>
      <c r="E913" s="178">
        <v>0</v>
      </c>
      <c r="F913">
        <v>0</v>
      </c>
      <c r="G913" t="s">
        <v>497</v>
      </c>
    </row>
    <row r="914" spans="1:9">
      <c r="A914" s="178">
        <v>560</v>
      </c>
      <c r="B914" s="178" t="s">
        <v>646</v>
      </c>
      <c r="C914" s="178">
        <v>0</v>
      </c>
      <c r="D914" s="178">
        <v>0</v>
      </c>
      <c r="E914" s="178">
        <v>0</v>
      </c>
      <c r="F914">
        <v>0</v>
      </c>
      <c r="G914" t="s">
        <v>497</v>
      </c>
    </row>
    <row r="915" spans="1:9">
      <c r="A915" s="178">
        <v>570</v>
      </c>
      <c r="B915" s="178" t="s">
        <v>647</v>
      </c>
      <c r="C915" s="178">
        <v>0</v>
      </c>
      <c r="D915" s="178">
        <v>0</v>
      </c>
      <c r="E915" s="178">
        <v>0</v>
      </c>
      <c r="F915">
        <v>0</v>
      </c>
      <c r="G915" t="s">
        <v>497</v>
      </c>
    </row>
    <row r="916" spans="1:9">
      <c r="A916" s="178">
        <v>580</v>
      </c>
      <c r="B916" s="178" t="s">
        <v>290</v>
      </c>
      <c r="C916" s="178">
        <v>0</v>
      </c>
      <c r="D916" s="178">
        <v>0</v>
      </c>
      <c r="E916" s="178">
        <v>0</v>
      </c>
      <c r="F916">
        <v>0</v>
      </c>
      <c r="G916" t="s">
        <v>497</v>
      </c>
    </row>
    <row r="917" spans="1:9">
      <c r="A917" s="178">
        <v>590</v>
      </c>
      <c r="B917" s="178" t="s">
        <v>648</v>
      </c>
      <c r="C917" s="178">
        <v>0</v>
      </c>
      <c r="D917" s="178">
        <v>0</v>
      </c>
      <c r="E917" s="178">
        <v>0</v>
      </c>
      <c r="F917">
        <v>0</v>
      </c>
      <c r="G917" t="s">
        <v>497</v>
      </c>
    </row>
    <row r="918" spans="1:9">
      <c r="A918" s="178">
        <v>600</v>
      </c>
      <c r="B918" s="178" t="s">
        <v>291</v>
      </c>
      <c r="C918" s="178">
        <v>0</v>
      </c>
      <c r="D918" s="178">
        <v>0</v>
      </c>
      <c r="E918" s="178">
        <v>0</v>
      </c>
      <c r="F918">
        <v>0</v>
      </c>
      <c r="G918" t="s">
        <v>497</v>
      </c>
    </row>
    <row r="919" spans="1:9">
      <c r="A919" s="178">
        <v>610</v>
      </c>
      <c r="B919" s="178" t="s">
        <v>649</v>
      </c>
      <c r="C919" s="178">
        <v>0</v>
      </c>
      <c r="D919" s="178">
        <v>0</v>
      </c>
      <c r="E919" s="178">
        <v>0</v>
      </c>
      <c r="F919">
        <v>0</v>
      </c>
      <c r="G919" t="s">
        <v>497</v>
      </c>
    </row>
    <row r="920" spans="1:9">
      <c r="A920" s="178">
        <v>615</v>
      </c>
      <c r="B920" s="178" t="s">
        <v>674</v>
      </c>
      <c r="C920" s="178">
        <v>0</v>
      </c>
      <c r="D920" s="178">
        <v>-1241705.92</v>
      </c>
      <c r="E920" s="178">
        <v>-1241705.92</v>
      </c>
      <c r="F920">
        <v>0</v>
      </c>
      <c r="G920" t="s">
        <v>497</v>
      </c>
    </row>
    <row r="921" spans="1:9">
      <c r="A921" s="178">
        <v>620</v>
      </c>
      <c r="B921" s="178" t="s">
        <v>292</v>
      </c>
      <c r="C921" s="178">
        <v>0</v>
      </c>
      <c r="D921" s="178">
        <v>0</v>
      </c>
      <c r="E921" s="178">
        <v>0</v>
      </c>
      <c r="F921">
        <v>0</v>
      </c>
      <c r="G921" t="s">
        <v>497</v>
      </c>
    </row>
    <row r="922" spans="1:9">
      <c r="A922" s="178">
        <v>630</v>
      </c>
      <c r="B922" s="178" t="s">
        <v>293</v>
      </c>
      <c r="C922" s="178">
        <v>0</v>
      </c>
      <c r="D922" s="178">
        <v>0</v>
      </c>
      <c r="E922" s="178">
        <v>0</v>
      </c>
      <c r="F922">
        <v>0</v>
      </c>
      <c r="G922" t="s">
        <v>497</v>
      </c>
    </row>
    <row r="923" spans="1:9">
      <c r="A923" s="178">
        <v>635</v>
      </c>
      <c r="B923" s="178" t="s">
        <v>675</v>
      </c>
      <c r="C923" s="178">
        <v>0</v>
      </c>
      <c r="D923" s="178">
        <v>0</v>
      </c>
      <c r="E923" s="178">
        <v>0</v>
      </c>
      <c r="F923">
        <v>0</v>
      </c>
      <c r="G923" t="s">
        <v>497</v>
      </c>
    </row>
    <row r="924" spans="1:9">
      <c r="A924" s="178">
        <v>640</v>
      </c>
      <c r="B924" s="178" t="s">
        <v>294</v>
      </c>
      <c r="C924" s="178">
        <v>329848.44</v>
      </c>
      <c r="D924" s="178">
        <v>-31367265.16</v>
      </c>
      <c r="E924" s="178">
        <v>-31037416.72</v>
      </c>
      <c r="F924">
        <v>329848.44</v>
      </c>
      <c r="G924" t="s">
        <v>497</v>
      </c>
    </row>
    <row r="925" spans="1:9">
      <c r="A925" s="178">
        <v>650</v>
      </c>
      <c r="B925" s="178" t="s">
        <v>295</v>
      </c>
      <c r="C925" s="178">
        <v>1661383.29</v>
      </c>
      <c r="D925" s="178">
        <v>27528000.56</v>
      </c>
      <c r="E925" s="178">
        <v>29189383.85</v>
      </c>
      <c r="F925">
        <v>1661383.29</v>
      </c>
      <c r="G925" t="s">
        <v>497</v>
      </c>
    </row>
    <row r="926" spans="1:9">
      <c r="A926" s="178" t="s">
        <v>450</v>
      </c>
      <c r="B926" s="178" t="s">
        <v>402</v>
      </c>
      <c r="C926" s="178" t="s">
        <v>609</v>
      </c>
      <c r="D926" s="178" t="s">
        <v>610</v>
      </c>
      <c r="E926" s="178" t="s">
        <v>611</v>
      </c>
      <c r="F926" t="s">
        <v>612</v>
      </c>
      <c r="G926" t="s">
        <v>405</v>
      </c>
    </row>
    <row r="927" spans="1:9">
      <c r="A927" s="178">
        <v>10</v>
      </c>
      <c r="B927" s="178" t="s">
        <v>613</v>
      </c>
      <c r="C927" s="178">
        <v>0</v>
      </c>
      <c r="D927" s="178">
        <v>0</v>
      </c>
      <c r="E927" s="178">
        <v>0</v>
      </c>
      <c r="F927">
        <v>0</v>
      </c>
      <c r="G927" t="s">
        <v>497</v>
      </c>
    </row>
    <row r="928" spans="1:9">
      <c r="A928" s="178">
        <v>20</v>
      </c>
      <c r="B928" s="178" t="s">
        <v>406</v>
      </c>
      <c r="C928" s="178">
        <v>7055532.17</v>
      </c>
      <c r="D928" s="178">
        <v>0</v>
      </c>
      <c r="E928" s="178">
        <v>7055532.17</v>
      </c>
      <c r="F928">
        <v>7055532.17</v>
      </c>
      <c r="G928" t="s">
        <v>497</v>
      </c>
    </row>
    <row r="929" spans="1:9">
      <c r="A929" s="178">
        <v>30</v>
      </c>
      <c r="B929" s="178" t="s">
        <v>614</v>
      </c>
      <c r="C929" s="178">
        <v>-162520.11</v>
      </c>
      <c r="D929" s="178">
        <v>0</v>
      </c>
      <c r="E929" s="178">
        <v>-162520.11</v>
      </c>
      <c r="F929">
        <v>-162520.11</v>
      </c>
      <c r="G929" t="s">
        <v>497</v>
      </c>
    </row>
    <row r="930" spans="1:9">
      <c r="A930" s="178">
        <v>35</v>
      </c>
      <c r="B930" s="178" t="s">
        <v>615</v>
      </c>
      <c r="C930" s="178">
        <v>6893012.06</v>
      </c>
      <c r="D930" s="178">
        <v>0</v>
      </c>
      <c r="E930" s="178">
        <v>6893012.06</v>
      </c>
      <c r="F930">
        <v>6893012.06</v>
      </c>
      <c r="G930" t="s">
        <v>497</v>
      </c>
    </row>
    <row r="931" spans="1:9">
      <c r="A931" s="178">
        <v>40</v>
      </c>
      <c r="B931" s="178" t="s">
        <v>616</v>
      </c>
      <c r="C931" s="178">
        <v>4203549.71</v>
      </c>
      <c r="D931" s="178">
        <v>0</v>
      </c>
      <c r="E931" s="178">
        <v>4203549.71</v>
      </c>
      <c r="F931">
        <v>4203549.71</v>
      </c>
      <c r="G931" t="s">
        <v>497</v>
      </c>
    </row>
    <row r="932" spans="1:9">
      <c r="A932" s="178">
        <v>50</v>
      </c>
      <c r="B932" s="178" t="s">
        <v>617</v>
      </c>
      <c r="C932" s="178">
        <v>0</v>
      </c>
      <c r="D932" s="178">
        <v>0</v>
      </c>
      <c r="E932" s="178">
        <v>0</v>
      </c>
      <c r="F932">
        <v>0</v>
      </c>
      <c r="G932" t="s">
        <v>497</v>
      </c>
    </row>
    <row r="933" spans="1:9">
      <c r="A933" s="178">
        <v>60</v>
      </c>
      <c r="B933" s="178" t="s">
        <v>618</v>
      </c>
      <c r="C933" s="178">
        <v>2689462.35</v>
      </c>
      <c r="D933" s="178">
        <v>0</v>
      </c>
      <c r="E933" s="178">
        <v>2689462.35</v>
      </c>
      <c r="F933">
        <v>2689462.35</v>
      </c>
      <c r="G933" t="s">
        <v>497</v>
      </c>
    </row>
    <row r="934" spans="1:9">
      <c r="A934" s="178">
        <v>70</v>
      </c>
      <c r="B934" s="178" t="s">
        <v>412</v>
      </c>
      <c r="C934" s="178">
        <v>3799539.77</v>
      </c>
      <c r="D934" s="178">
        <v>0</v>
      </c>
      <c r="E934" s="178">
        <v>3799539.77</v>
      </c>
      <c r="F934">
        <v>3799539.77</v>
      </c>
      <c r="G934" t="s">
        <v>497</v>
      </c>
    </row>
    <row r="935" spans="1:9">
      <c r="A935" s="178">
        <v>80</v>
      </c>
      <c r="B935" s="178" t="s">
        <v>413</v>
      </c>
      <c r="C935" s="178">
        <v>641284.44</v>
      </c>
      <c r="D935" s="178">
        <v>0</v>
      </c>
      <c r="E935" s="178">
        <v>641284.44</v>
      </c>
      <c r="F935">
        <v>641284.44</v>
      </c>
      <c r="G935" t="s">
        <v>497</v>
      </c>
    </row>
    <row r="936" spans="1:9">
      <c r="A936" s="178">
        <v>90</v>
      </c>
      <c r="B936" s="178" t="s">
        <v>619</v>
      </c>
      <c r="C936" s="178">
        <v>249581.19</v>
      </c>
      <c r="D936" s="178">
        <v>0</v>
      </c>
      <c r="E936" s="178">
        <v>249581.19</v>
      </c>
      <c r="F936">
        <v>249581.19</v>
      </c>
      <c r="G936" t="s">
        <v>497</v>
      </c>
    </row>
    <row r="937" spans="1:9">
      <c r="A937" s="178">
        <v>100</v>
      </c>
      <c r="B937" s="178" t="s">
        <v>620</v>
      </c>
      <c r="C937" s="178">
        <v>-2000943.05</v>
      </c>
      <c r="D937" s="178">
        <v>0</v>
      </c>
      <c r="E937" s="178">
        <v>-2000943.05</v>
      </c>
      <c r="F937">
        <v>-2000943.05</v>
      </c>
      <c r="G937" t="s">
        <v>497</v>
      </c>
    </row>
    <row r="938" spans="1:9">
      <c r="A938" s="178">
        <v>110</v>
      </c>
      <c r="B938" s="178" t="s">
        <v>621</v>
      </c>
      <c r="C938" s="178">
        <v>0</v>
      </c>
      <c r="D938" s="178">
        <v>0</v>
      </c>
      <c r="E938" s="178">
        <v>0</v>
      </c>
      <c r="F938">
        <v>0</v>
      </c>
      <c r="G938" t="s">
        <v>497</v>
      </c>
    </row>
    <row r="939" spans="1:9">
      <c r="A939" s="178">
        <v>120</v>
      </c>
      <c r="B939" s="178" t="s">
        <v>622</v>
      </c>
      <c r="C939" s="178">
        <v>-335981.78</v>
      </c>
      <c r="D939" s="178">
        <v>0</v>
      </c>
      <c r="E939" s="178">
        <v>-335981.78</v>
      </c>
      <c r="F939">
        <v>-335981.78</v>
      </c>
      <c r="G939" t="s">
        <v>497</v>
      </c>
    </row>
    <row r="940" spans="1:9">
      <c r="A940" s="178">
        <v>130</v>
      </c>
      <c r="B940" s="178" t="s">
        <v>623</v>
      </c>
      <c r="C940" s="178">
        <v>0</v>
      </c>
      <c r="D940" s="178">
        <v>0</v>
      </c>
      <c r="E940" s="178">
        <v>0</v>
      </c>
      <c r="F940">
        <v>0</v>
      </c>
      <c r="G940" t="s">
        <v>497</v>
      </c>
    </row>
    <row r="941" spans="1:9">
      <c r="A941" s="178">
        <v>140</v>
      </c>
      <c r="B941" s="178" t="s">
        <v>624</v>
      </c>
      <c r="C941" s="178">
        <v>0</v>
      </c>
      <c r="D941" s="178">
        <v>0</v>
      </c>
      <c r="E941" s="178">
        <v>0</v>
      </c>
      <c r="F941">
        <v>0</v>
      </c>
      <c r="G941" t="s">
        <v>497</v>
      </c>
    </row>
    <row r="942" spans="1:9">
      <c r="A942" s="178">
        <v>145</v>
      </c>
      <c r="B942" s="178" t="s">
        <v>422</v>
      </c>
      <c r="C942" s="178">
        <v>-335981.78</v>
      </c>
      <c r="D942" s="178">
        <v>0</v>
      </c>
      <c r="E942" s="178">
        <v>-335981.78</v>
      </c>
      <c r="F942">
        <v>-335981.78</v>
      </c>
      <c r="G942" t="s">
        <v>497</v>
      </c>
    </row>
    <row r="943" spans="1:9">
      <c r="A943" s="178">
        <v>150</v>
      </c>
      <c r="B943" s="178" t="s">
        <v>625</v>
      </c>
      <c r="C943" s="178">
        <v>-1664961.27</v>
      </c>
      <c r="D943" s="178">
        <v>0</v>
      </c>
      <c r="E943" s="178">
        <v>-1664961.27</v>
      </c>
      <c r="F943">
        <v>-1664961.27</v>
      </c>
      <c r="G943" t="s">
        <v>497</v>
      </c>
    </row>
    <row r="944" spans="1:9">
      <c r="A944" s="178">
        <v>160</v>
      </c>
      <c r="B944" s="178" t="s">
        <v>626</v>
      </c>
      <c r="C944" s="178">
        <v>187426</v>
      </c>
      <c r="D944" s="178">
        <v>0</v>
      </c>
      <c r="E944" s="178">
        <v>187426</v>
      </c>
      <c r="F944">
        <v>187426</v>
      </c>
      <c r="G944" t="s">
        <v>497</v>
      </c>
    </row>
    <row r="945" spans="1:9">
      <c r="A945" s="178">
        <v>170</v>
      </c>
      <c r="B945" s="178" t="s">
        <v>426</v>
      </c>
      <c r="C945" s="178">
        <v>-1852387.27</v>
      </c>
      <c r="D945" s="178">
        <v>0</v>
      </c>
      <c r="E945" s="178">
        <v>-1852387.27</v>
      </c>
      <c r="F945">
        <v>-1852387.27</v>
      </c>
      <c r="G945" t="s">
        <v>497</v>
      </c>
    </row>
    <row r="946" spans="1:9">
      <c r="A946" s="178">
        <v>190</v>
      </c>
      <c r="B946" s="178" t="s">
        <v>627</v>
      </c>
      <c r="C946" s="178">
        <v>0</v>
      </c>
      <c r="D946" s="178">
        <v>0</v>
      </c>
      <c r="E946" s="178">
        <v>0</v>
      </c>
      <c r="F946">
        <v>0</v>
      </c>
      <c r="G946" t="s">
        <v>497</v>
      </c>
    </row>
    <row r="947" spans="1:9">
      <c r="A947" s="178">
        <v>200</v>
      </c>
      <c r="B947" s="178" t="s">
        <v>426</v>
      </c>
      <c r="C947" s="178">
        <v>-1852387.27</v>
      </c>
      <c r="D947" s="178">
        <v>0</v>
      </c>
      <c r="E947" s="178">
        <v>-1852387.27</v>
      </c>
      <c r="F947">
        <v>-1852387.27</v>
      </c>
      <c r="G947" t="s">
        <v>497</v>
      </c>
    </row>
    <row r="948" spans="1:9">
      <c r="A948" s="178">
        <v>210</v>
      </c>
      <c r="B948" s="178" t="s">
        <v>264</v>
      </c>
      <c r="C948" s="178">
        <v>-1852387.27</v>
      </c>
      <c r="D948" s="178">
        <v>0</v>
      </c>
      <c r="E948" s="178">
        <v>-1852387.27</v>
      </c>
      <c r="F948">
        <v>-1852387.27</v>
      </c>
      <c r="G948" t="s">
        <v>497</v>
      </c>
    </row>
    <row r="949" spans="1:9">
      <c r="A949" s="178">
        <v>220</v>
      </c>
      <c r="B949" s="178" t="s">
        <v>628</v>
      </c>
      <c r="C949" s="178">
        <v>0</v>
      </c>
      <c r="D949" s="178">
        <v>0</v>
      </c>
      <c r="E949" s="178">
        <v>0</v>
      </c>
      <c r="F949">
        <v>0</v>
      </c>
      <c r="G949" t="s">
        <v>497</v>
      </c>
    </row>
    <row r="950" spans="1:9">
      <c r="A950" s="178">
        <v>230</v>
      </c>
      <c r="B950" s="178" t="s">
        <v>266</v>
      </c>
      <c r="C950" s="178">
        <v>444718.98</v>
      </c>
      <c r="D950" s="178">
        <v>-8077695.15</v>
      </c>
      <c r="E950" s="178">
        <v>-7632976.17</v>
      </c>
      <c r="F950">
        <v>444718.98</v>
      </c>
      <c r="G950" t="s">
        <v>497</v>
      </c>
    </row>
    <row r="951" spans="1:9">
      <c r="A951" s="178">
        <v>235</v>
      </c>
      <c r="B951" s="178" t="s">
        <v>629</v>
      </c>
      <c r="C951" s="178">
        <v>6600</v>
      </c>
      <c r="D951" s="178">
        <v>-83960.5</v>
      </c>
      <c r="E951" s="178">
        <v>-77360.5</v>
      </c>
      <c r="F951">
        <v>6600</v>
      </c>
      <c r="G951" t="s">
        <v>497</v>
      </c>
    </row>
    <row r="952" spans="1:9">
      <c r="A952" s="178">
        <v>240</v>
      </c>
      <c r="B952" s="178" t="s">
        <v>267</v>
      </c>
      <c r="C952" s="178">
        <v>114850.03</v>
      </c>
      <c r="D952" s="178">
        <v>-6537928.17</v>
      </c>
      <c r="E952" s="178">
        <v>-6423078.14</v>
      </c>
      <c r="F952">
        <v>114850.03</v>
      </c>
      <c r="G952" t="s">
        <v>497</v>
      </c>
    </row>
    <row r="953" spans="1:9">
      <c r="A953" s="178">
        <v>250</v>
      </c>
      <c r="B953" s="178" t="s">
        <v>268</v>
      </c>
      <c r="C953" s="178">
        <v>-2748165.23</v>
      </c>
      <c r="D953" s="178">
        <v>-3527348.37</v>
      </c>
      <c r="E953" s="178">
        <v>-6275513.6</v>
      </c>
      <c r="F953">
        <v>-2748165.23</v>
      </c>
      <c r="G953" t="s">
        <v>497</v>
      </c>
    </row>
    <row r="954" spans="1:9">
      <c r="A954" s="178">
        <v>260</v>
      </c>
      <c r="B954" s="178" t="s">
        <v>630</v>
      </c>
      <c r="C954" s="178">
        <v>0</v>
      </c>
      <c r="D954" s="178">
        <v>-219652.46</v>
      </c>
      <c r="E954" s="178">
        <v>-219652.46</v>
      </c>
      <c r="F954">
        <v>0</v>
      </c>
      <c r="G954" t="s">
        <v>497</v>
      </c>
    </row>
    <row r="955" spans="1:9">
      <c r="A955" s="178">
        <v>270</v>
      </c>
      <c r="B955" s="178" t="s">
        <v>269</v>
      </c>
      <c r="C955" s="178">
        <v>-501515.12</v>
      </c>
      <c r="D955" s="178">
        <v>69298.26</v>
      </c>
      <c r="E955" s="178">
        <v>-432216.86</v>
      </c>
      <c r="F955">
        <v>-501515.12</v>
      </c>
      <c r="G955" t="s">
        <v>497</v>
      </c>
    </row>
    <row r="956" spans="1:9">
      <c r="A956" s="178">
        <v>300</v>
      </c>
      <c r="B956" s="178" t="s">
        <v>270</v>
      </c>
      <c r="C956" s="178">
        <v>4720148.36</v>
      </c>
      <c r="D956" s="178">
        <v>1723676.61</v>
      </c>
      <c r="E956" s="178">
        <v>6443824.97</v>
      </c>
      <c r="F956">
        <v>4720148.36</v>
      </c>
      <c r="G956" t="s">
        <v>497</v>
      </c>
    </row>
    <row r="957" spans="1:9">
      <c r="A957" s="178">
        <v>310</v>
      </c>
      <c r="B957" s="178" t="s">
        <v>631</v>
      </c>
      <c r="C957" s="178">
        <v>0</v>
      </c>
      <c r="D957" s="178">
        <v>0</v>
      </c>
      <c r="E957" s="178">
        <v>0</v>
      </c>
      <c r="F957">
        <v>0</v>
      </c>
      <c r="G957" t="s">
        <v>497</v>
      </c>
    </row>
    <row r="958" spans="1:9">
      <c r="A958" s="178">
        <v>320</v>
      </c>
      <c r="B958" s="178" t="s">
        <v>271</v>
      </c>
      <c r="C958" s="178">
        <v>-311358.28</v>
      </c>
      <c r="D958" s="178">
        <v>10185476.27</v>
      </c>
      <c r="E958" s="178">
        <v>9874117.99</v>
      </c>
      <c r="F958">
        <v>-311358.28</v>
      </c>
      <c r="G958" t="s">
        <v>497</v>
      </c>
    </row>
    <row r="959" spans="1:9">
      <c r="A959" s="178">
        <v>325</v>
      </c>
      <c r="B959" s="178" t="s">
        <v>272</v>
      </c>
      <c r="C959" s="178">
        <v>0</v>
      </c>
      <c r="D959" s="178">
        <v>0</v>
      </c>
      <c r="E959" s="178">
        <v>0</v>
      </c>
      <c r="F959">
        <v>0</v>
      </c>
      <c r="G959" t="s">
        <v>497</v>
      </c>
    </row>
    <row r="960" spans="1:9">
      <c r="A960" s="178">
        <v>330</v>
      </c>
      <c r="B960" s="178" t="s">
        <v>632</v>
      </c>
      <c r="C960" s="178">
        <v>0</v>
      </c>
      <c r="D960" s="178">
        <v>-3740802.49</v>
      </c>
      <c r="E960" s="178">
        <v>-3740802.49</v>
      </c>
      <c r="F960">
        <v>0</v>
      </c>
      <c r="G960" t="s">
        <v>497</v>
      </c>
    </row>
    <row r="961" spans="1:9">
      <c r="A961" s="178">
        <v>340</v>
      </c>
      <c r="B961" s="178" t="s">
        <v>633</v>
      </c>
      <c r="C961" s="178">
        <v>-54219.08</v>
      </c>
      <c r="D961" s="178">
        <v>6236160.63</v>
      </c>
      <c r="E961" s="178">
        <v>6181941.55</v>
      </c>
      <c r="F961">
        <v>-54219.08</v>
      </c>
      <c r="G961" t="s">
        <v>497</v>
      </c>
    </row>
    <row r="962" spans="1:9">
      <c r="A962" s="178">
        <v>380</v>
      </c>
      <c r="B962" s="178" t="s">
        <v>634</v>
      </c>
      <c r="C962" s="178">
        <v>1671059.66</v>
      </c>
      <c r="D962" s="178">
        <v>-3972775.37</v>
      </c>
      <c r="E962" s="178">
        <v>-2301715.71</v>
      </c>
      <c r="F962">
        <v>1671059.66</v>
      </c>
      <c r="G962" t="s">
        <v>497</v>
      </c>
    </row>
    <row r="963" spans="1:9">
      <c r="A963" s="178">
        <v>390</v>
      </c>
      <c r="B963" s="178" t="s">
        <v>273</v>
      </c>
      <c r="C963" s="178">
        <v>0</v>
      </c>
      <c r="D963" s="178">
        <v>0</v>
      </c>
      <c r="E963" s="178">
        <v>0</v>
      </c>
      <c r="F963">
        <v>0</v>
      </c>
      <c r="G963" t="s">
        <v>497</v>
      </c>
    </row>
    <row r="964" spans="1:9">
      <c r="A964" s="178">
        <v>400</v>
      </c>
      <c r="B964" s="178" t="s">
        <v>274</v>
      </c>
      <c r="C964" s="178">
        <v>0</v>
      </c>
      <c r="D964" s="178">
        <v>-8.76</v>
      </c>
      <c r="E964" s="178">
        <v>-8.76</v>
      </c>
      <c r="F964">
        <v>0</v>
      </c>
      <c r="G964" t="s">
        <v>497</v>
      </c>
    </row>
    <row r="965" spans="1:9">
      <c r="A965" s="178">
        <v>405</v>
      </c>
      <c r="B965" s="178" t="s">
        <v>275</v>
      </c>
      <c r="C965" s="178">
        <v>0</v>
      </c>
      <c r="D965" s="178">
        <v>0</v>
      </c>
      <c r="E965" s="178">
        <v>0</v>
      </c>
      <c r="F965">
        <v>0</v>
      </c>
      <c r="G965" t="s">
        <v>497</v>
      </c>
    </row>
    <row r="966" spans="1:9">
      <c r="A966" s="178">
        <v>410</v>
      </c>
      <c r="B966" s="178" t="s">
        <v>276</v>
      </c>
      <c r="C966" s="178">
        <v>0</v>
      </c>
      <c r="D966" s="178">
        <v>37609982.34</v>
      </c>
      <c r="E966" s="178">
        <v>37609982.34</v>
      </c>
      <c r="F966">
        <v>0</v>
      </c>
      <c r="G966" t="s">
        <v>497</v>
      </c>
    </row>
    <row r="967" spans="1:9">
      <c r="A967" s="178">
        <v>420</v>
      </c>
      <c r="B967" s="178" t="s">
        <v>277</v>
      </c>
      <c r="C967" s="178">
        <v>0</v>
      </c>
      <c r="D967" s="178">
        <v>0</v>
      </c>
      <c r="E967" s="178">
        <v>0</v>
      </c>
      <c r="F967">
        <v>0</v>
      </c>
      <c r="G967" t="s">
        <v>497</v>
      </c>
    </row>
    <row r="968" spans="1:9">
      <c r="A968" s="178">
        <v>425</v>
      </c>
      <c r="B968" s="178" t="s">
        <v>635</v>
      </c>
      <c r="C968" s="178">
        <v>0</v>
      </c>
      <c r="D968" s="178">
        <v>0</v>
      </c>
      <c r="E968" s="178">
        <v>0</v>
      </c>
      <c r="F968">
        <v>0</v>
      </c>
      <c r="G968" t="s">
        <v>497</v>
      </c>
    </row>
    <row r="969" spans="1:9">
      <c r="A969" s="178">
        <v>427</v>
      </c>
      <c r="B969" s="178" t="s">
        <v>636</v>
      </c>
      <c r="C969" s="178">
        <v>0</v>
      </c>
      <c r="D969" s="178">
        <v>0</v>
      </c>
      <c r="E969" s="178">
        <v>0</v>
      </c>
      <c r="F969">
        <v>0</v>
      </c>
      <c r="G969" t="s">
        <v>497</v>
      </c>
    </row>
    <row r="970" spans="1:9">
      <c r="A970" s="178">
        <v>430</v>
      </c>
      <c r="B970" s="178" t="s">
        <v>279</v>
      </c>
      <c r="C970" s="178">
        <v>0</v>
      </c>
      <c r="D970" s="178">
        <v>4285154.45</v>
      </c>
      <c r="E970" s="178">
        <v>4285154.45</v>
      </c>
      <c r="F970">
        <v>0</v>
      </c>
      <c r="G970" t="s">
        <v>497</v>
      </c>
    </row>
    <row r="971" spans="1:9">
      <c r="A971" s="178">
        <v>440</v>
      </c>
      <c r="B971" s="178" t="s">
        <v>280</v>
      </c>
      <c r="C971" s="178">
        <v>0</v>
      </c>
      <c r="D971" s="178">
        <v>41895128.03</v>
      </c>
      <c r="E971" s="178">
        <v>41895128.03</v>
      </c>
      <c r="F971">
        <v>0</v>
      </c>
      <c r="G971" t="s">
        <v>497</v>
      </c>
    </row>
    <row r="972" spans="1:9">
      <c r="A972" s="178">
        <v>450</v>
      </c>
      <c r="B972" s="178" t="s">
        <v>281</v>
      </c>
      <c r="C972" s="178">
        <v>0</v>
      </c>
      <c r="D972" s="178">
        <v>0</v>
      </c>
      <c r="E972" s="178">
        <v>0</v>
      </c>
      <c r="F972">
        <v>0</v>
      </c>
      <c r="G972" t="s">
        <v>497</v>
      </c>
    </row>
    <row r="973" spans="1:9">
      <c r="A973" s="178">
        <v>455</v>
      </c>
      <c r="B973" s="178" t="s">
        <v>282</v>
      </c>
      <c r="C973" s="178">
        <v>0</v>
      </c>
      <c r="D973" s="178">
        <v>-3760258.49</v>
      </c>
      <c r="E973" s="178">
        <v>-3760258.49</v>
      </c>
      <c r="F973">
        <v>0</v>
      </c>
      <c r="G973" t="s">
        <v>497</v>
      </c>
    </row>
    <row r="974" spans="1:9">
      <c r="A974" s="178">
        <v>456</v>
      </c>
      <c r="B974" s="178" t="s">
        <v>637</v>
      </c>
      <c r="C974" s="178">
        <v>31335.49</v>
      </c>
      <c r="D974" s="178">
        <v>781954.05</v>
      </c>
      <c r="E974" s="178">
        <v>813289.54</v>
      </c>
      <c r="F974">
        <v>31335.49</v>
      </c>
      <c r="G974" t="s">
        <v>497</v>
      </c>
    </row>
    <row r="975" spans="1:9">
      <c r="A975" s="178">
        <v>460</v>
      </c>
      <c r="B975" s="178" t="s">
        <v>283</v>
      </c>
      <c r="C975" s="178">
        <v>-11581.03</v>
      </c>
      <c r="D975" s="178">
        <v>-19028558.81</v>
      </c>
      <c r="E975" s="178">
        <v>-19040139.84</v>
      </c>
      <c r="F975">
        <v>-11581.03</v>
      </c>
      <c r="G975" t="s">
        <v>497</v>
      </c>
    </row>
    <row r="976" spans="1:9">
      <c r="A976" s="178">
        <v>470</v>
      </c>
      <c r="B976" s="178" t="s">
        <v>638</v>
      </c>
      <c r="C976" s="178">
        <v>41987.89</v>
      </c>
      <c r="D976" s="178">
        <v>7945537.31</v>
      </c>
      <c r="E976" s="178">
        <v>7987525.2</v>
      </c>
      <c r="F976">
        <v>41987.89</v>
      </c>
      <c r="G976" t="s">
        <v>497</v>
      </c>
    </row>
    <row r="977" spans="1:9">
      <c r="A977" s="178">
        <v>480</v>
      </c>
      <c r="B977" s="178" t="s">
        <v>284</v>
      </c>
      <c r="C977" s="178">
        <v>-16433</v>
      </c>
      <c r="D977" s="178">
        <v>-30767208.3</v>
      </c>
      <c r="E977" s="178">
        <v>-30783641.3</v>
      </c>
      <c r="F977">
        <v>-16433</v>
      </c>
      <c r="G977" t="s">
        <v>497</v>
      </c>
    </row>
    <row r="978" spans="1:9">
      <c r="A978" s="178">
        <v>490</v>
      </c>
      <c r="B978" s="178" t="s">
        <v>639</v>
      </c>
      <c r="C978" s="178">
        <v>112294.45</v>
      </c>
      <c r="D978" s="178">
        <v>13049857.81</v>
      </c>
      <c r="E978" s="178">
        <v>13162152.26</v>
      </c>
      <c r="F978">
        <v>112294.45</v>
      </c>
      <c r="G978" t="s">
        <v>497</v>
      </c>
    </row>
    <row r="979" spans="1:9">
      <c r="A979" s="178">
        <v>500</v>
      </c>
      <c r="B979" s="178" t="s">
        <v>285</v>
      </c>
      <c r="C979" s="178">
        <v>0</v>
      </c>
      <c r="D979" s="178">
        <v>-6444064.44</v>
      </c>
      <c r="E979" s="178">
        <v>-6444064.44</v>
      </c>
      <c r="F979">
        <v>0</v>
      </c>
      <c r="G979" t="s">
        <v>497</v>
      </c>
    </row>
    <row r="980" spans="1:9">
      <c r="A980" s="178">
        <v>510</v>
      </c>
      <c r="B980" s="178" t="s">
        <v>640</v>
      </c>
      <c r="C980" s="178">
        <v>59854.29</v>
      </c>
      <c r="D980" s="178">
        <v>4966808.97</v>
      </c>
      <c r="E980" s="178">
        <v>5026663.26</v>
      </c>
      <c r="F980">
        <v>59854.29</v>
      </c>
      <c r="G980" t="s">
        <v>497</v>
      </c>
    </row>
    <row r="981" spans="1:9">
      <c r="A981" s="178">
        <v>512</v>
      </c>
      <c r="B981" s="178" t="s">
        <v>286</v>
      </c>
      <c r="C981" s="178">
        <v>-9984.75</v>
      </c>
      <c r="D981" s="178">
        <v>-1052238.13</v>
      </c>
      <c r="E981" s="178">
        <v>-1062222.88</v>
      </c>
      <c r="F981">
        <v>-9984.75</v>
      </c>
      <c r="G981" t="s">
        <v>497</v>
      </c>
    </row>
    <row r="982" spans="1:9">
      <c r="A982" s="178">
        <v>514</v>
      </c>
      <c r="B982" s="178" t="s">
        <v>641</v>
      </c>
      <c r="C982" s="178">
        <v>4109.07</v>
      </c>
      <c r="D982" s="178">
        <v>358245.65</v>
      </c>
      <c r="E982" s="178">
        <v>362354.72</v>
      </c>
      <c r="F982">
        <v>4109.07</v>
      </c>
      <c r="G982" t="s">
        <v>497</v>
      </c>
    </row>
    <row r="983" spans="1:9">
      <c r="A983" s="178">
        <v>520</v>
      </c>
      <c r="B983" s="178" t="s">
        <v>642</v>
      </c>
      <c r="C983" s="178">
        <v>0</v>
      </c>
      <c r="D983" s="178">
        <v>-39620.41</v>
      </c>
      <c r="E983" s="178">
        <v>-39620.41</v>
      </c>
      <c r="F983">
        <v>0</v>
      </c>
      <c r="G983" t="s">
        <v>497</v>
      </c>
    </row>
    <row r="984" spans="1:9">
      <c r="A984" s="178">
        <v>530</v>
      </c>
      <c r="B984" s="178" t="s">
        <v>643</v>
      </c>
      <c r="C984" s="178">
        <v>0</v>
      </c>
      <c r="D984" s="178">
        <v>0</v>
      </c>
      <c r="E984" s="178">
        <v>0</v>
      </c>
      <c r="F984">
        <v>0</v>
      </c>
      <c r="G984" t="s">
        <v>497</v>
      </c>
    </row>
    <row r="985" spans="1:9">
      <c r="A985" s="178">
        <v>540</v>
      </c>
      <c r="B985" s="178" t="s">
        <v>644</v>
      </c>
      <c r="C985" s="178">
        <v>0</v>
      </c>
      <c r="D985" s="178">
        <v>-9493</v>
      </c>
      <c r="E985" s="178">
        <v>-9493</v>
      </c>
      <c r="F985">
        <v>0</v>
      </c>
      <c r="G985" t="s">
        <v>497</v>
      </c>
    </row>
    <row r="986" spans="1:9">
      <c r="A986" s="178">
        <v>550</v>
      </c>
      <c r="B986" s="178" t="s">
        <v>645</v>
      </c>
      <c r="C986" s="178">
        <v>0</v>
      </c>
      <c r="D986" s="178">
        <v>0</v>
      </c>
      <c r="E986" s="178">
        <v>0</v>
      </c>
      <c r="F986">
        <v>0</v>
      </c>
      <c r="G986" t="s">
        <v>497</v>
      </c>
    </row>
    <row r="987" spans="1:9">
      <c r="A987" s="178">
        <v>560</v>
      </c>
      <c r="B987" s="178" t="s">
        <v>646</v>
      </c>
      <c r="C987" s="178">
        <v>0</v>
      </c>
      <c r="D987" s="178">
        <v>0</v>
      </c>
      <c r="E987" s="178">
        <v>0</v>
      </c>
      <c r="F987">
        <v>0</v>
      </c>
      <c r="G987" t="s">
        <v>497</v>
      </c>
    </row>
    <row r="988" spans="1:9">
      <c r="A988" s="178">
        <v>570</v>
      </c>
      <c r="B988" s="178" t="s">
        <v>647</v>
      </c>
      <c r="C988" s="178">
        <v>0</v>
      </c>
      <c r="D988" s="178">
        <v>0</v>
      </c>
      <c r="E988" s="178">
        <v>0</v>
      </c>
      <c r="F988">
        <v>0</v>
      </c>
      <c r="G988" t="s">
        <v>497</v>
      </c>
    </row>
    <row r="989" spans="1:9">
      <c r="A989" s="178">
        <v>580</v>
      </c>
      <c r="B989" s="178" t="s">
        <v>290</v>
      </c>
      <c r="C989" s="178">
        <v>0</v>
      </c>
      <c r="D989" s="178">
        <v>0</v>
      </c>
      <c r="E989" s="178">
        <v>0</v>
      </c>
      <c r="F989">
        <v>0</v>
      </c>
      <c r="G989" t="s">
        <v>497</v>
      </c>
    </row>
    <row r="990" spans="1:9">
      <c r="A990" s="178">
        <v>590</v>
      </c>
      <c r="B990" s="178" t="s">
        <v>648</v>
      </c>
      <c r="C990" s="178">
        <v>0</v>
      </c>
      <c r="D990" s="178">
        <v>0</v>
      </c>
      <c r="E990" s="178">
        <v>0</v>
      </c>
      <c r="F990">
        <v>0</v>
      </c>
      <c r="G990" t="s">
        <v>497</v>
      </c>
    </row>
    <row r="991" spans="1:9">
      <c r="A991" s="178">
        <v>600</v>
      </c>
      <c r="B991" s="178" t="s">
        <v>291</v>
      </c>
      <c r="C991" s="178">
        <v>0</v>
      </c>
      <c r="D991" s="178">
        <v>0</v>
      </c>
      <c r="E991" s="178">
        <v>0</v>
      </c>
      <c r="F991">
        <v>0</v>
      </c>
      <c r="G991" t="s">
        <v>497</v>
      </c>
    </row>
    <row r="992" spans="1:9">
      <c r="A992" s="178">
        <v>610</v>
      </c>
      <c r="B992" s="178" t="s">
        <v>649</v>
      </c>
      <c r="C992" s="178">
        <v>0</v>
      </c>
      <c r="D992" s="178">
        <v>0</v>
      </c>
      <c r="E992" s="178">
        <v>0</v>
      </c>
      <c r="F992">
        <v>0</v>
      </c>
      <c r="G992" t="s">
        <v>497</v>
      </c>
    </row>
    <row r="993" spans="1:9">
      <c r="A993" s="178">
        <v>615</v>
      </c>
      <c r="B993" s="178" t="s">
        <v>674</v>
      </c>
      <c r="C993" s="178">
        <v>0</v>
      </c>
      <c r="D993" s="178">
        <v>-2604066.01</v>
      </c>
      <c r="E993" s="178">
        <v>-2604066.01</v>
      </c>
      <c r="F993">
        <v>0</v>
      </c>
      <c r="G993" t="s">
        <v>497</v>
      </c>
    </row>
    <row r="994" spans="1:9">
      <c r="A994" s="178">
        <v>620</v>
      </c>
      <c r="B994" s="178" t="s">
        <v>292</v>
      </c>
      <c r="C994" s="178">
        <v>0</v>
      </c>
      <c r="D994" s="178">
        <v>0</v>
      </c>
      <c r="E994" s="178">
        <v>0</v>
      </c>
      <c r="F994">
        <v>0</v>
      </c>
      <c r="G994" t="s">
        <v>497</v>
      </c>
    </row>
    <row r="995" spans="1:9">
      <c r="A995" s="178">
        <v>630</v>
      </c>
      <c r="B995" s="178" t="s">
        <v>293</v>
      </c>
      <c r="C995" s="178">
        <v>0</v>
      </c>
      <c r="D995" s="178">
        <v>0</v>
      </c>
      <c r="E995" s="178">
        <v>0</v>
      </c>
      <c r="F995">
        <v>0</v>
      </c>
      <c r="G995" t="s">
        <v>497</v>
      </c>
    </row>
    <row r="996" spans="1:9">
      <c r="A996" s="178">
        <v>635</v>
      </c>
      <c r="B996" s="178" t="s">
        <v>675</v>
      </c>
      <c r="C996" s="178">
        <v>0</v>
      </c>
      <c r="D996" s="178">
        <v>0</v>
      </c>
      <c r="E996" s="178">
        <v>0</v>
      </c>
      <c r="F996">
        <v>0</v>
      </c>
      <c r="G996" t="s">
        <v>497</v>
      </c>
    </row>
    <row r="997" spans="1:9">
      <c r="A997" s="178">
        <v>640</v>
      </c>
      <c r="B997" s="178" t="s">
        <v>294</v>
      </c>
      <c r="C997" s="178">
        <v>211582.41</v>
      </c>
      <c r="D997" s="178">
        <v>-36603103.8</v>
      </c>
      <c r="E997" s="178">
        <v>-36391521.39</v>
      </c>
      <c r="F997">
        <v>211582.41</v>
      </c>
      <c r="G997" t="s">
        <v>497</v>
      </c>
    </row>
    <row r="998" spans="1:9">
      <c r="A998" s="178">
        <v>650</v>
      </c>
      <c r="B998" s="178" t="s">
        <v>295</v>
      </c>
      <c r="C998" s="178">
        <v>30254.8</v>
      </c>
      <c r="D998" s="178">
        <v>1319248.86</v>
      </c>
      <c r="E998" s="178">
        <v>1349503.66</v>
      </c>
      <c r="F998">
        <v>30254.8</v>
      </c>
      <c r="G998" t="s">
        <v>497</v>
      </c>
    </row>
    <row r="999" spans="1:9">
      <c r="A999" s="178" t="s">
        <v>451</v>
      </c>
      <c r="B999" s="178" t="s">
        <v>402</v>
      </c>
      <c r="C999" s="178" t="s">
        <v>609</v>
      </c>
      <c r="D999" s="178" t="s">
        <v>610</v>
      </c>
      <c r="E999" s="178" t="s">
        <v>611</v>
      </c>
      <c r="F999" t="s">
        <v>612</v>
      </c>
      <c r="G999" t="s">
        <v>405</v>
      </c>
    </row>
    <row r="1000" spans="1:9">
      <c r="A1000" s="178">
        <v>10</v>
      </c>
      <c r="B1000" s="178" t="s">
        <v>613</v>
      </c>
      <c r="C1000" s="178">
        <v>0</v>
      </c>
      <c r="D1000" s="178">
        <v>0</v>
      </c>
      <c r="E1000" s="178">
        <v>0</v>
      </c>
      <c r="F1000">
        <v>0</v>
      </c>
      <c r="G1000" t="s">
        <v>497</v>
      </c>
    </row>
    <row r="1001" spans="1:9">
      <c r="A1001" s="178">
        <v>20</v>
      </c>
      <c r="B1001" s="178" t="s">
        <v>406</v>
      </c>
      <c r="C1001" s="178">
        <v>63863556.77</v>
      </c>
      <c r="D1001" s="178">
        <v>0</v>
      </c>
      <c r="E1001" s="178">
        <v>63863556.77</v>
      </c>
      <c r="F1001">
        <v>63863556.77</v>
      </c>
      <c r="G1001" t="s">
        <v>497</v>
      </c>
    </row>
    <row r="1002" spans="1:9">
      <c r="A1002" s="178">
        <v>30</v>
      </c>
      <c r="B1002" s="178" t="s">
        <v>614</v>
      </c>
      <c r="C1002" s="178">
        <v>0</v>
      </c>
      <c r="D1002" s="178">
        <v>0</v>
      </c>
      <c r="E1002" s="178">
        <v>0</v>
      </c>
      <c r="F1002">
        <v>0</v>
      </c>
      <c r="G1002" t="s">
        <v>497</v>
      </c>
    </row>
    <row r="1003" spans="1:9">
      <c r="A1003" s="178">
        <v>35</v>
      </c>
      <c r="B1003" s="178" t="s">
        <v>615</v>
      </c>
      <c r="C1003" s="178">
        <v>63863556.77</v>
      </c>
      <c r="D1003" s="178">
        <v>0</v>
      </c>
      <c r="E1003" s="178">
        <v>63863556.77</v>
      </c>
      <c r="F1003">
        <v>63863556.77</v>
      </c>
      <c r="G1003" t="s">
        <v>497</v>
      </c>
    </row>
    <row r="1004" spans="1:9">
      <c r="A1004" s="178">
        <v>40</v>
      </c>
      <c r="B1004" s="178" t="s">
        <v>616</v>
      </c>
      <c r="C1004" s="178">
        <v>54520265.97</v>
      </c>
      <c r="D1004" s="178">
        <v>0</v>
      </c>
      <c r="E1004" s="178">
        <v>54520265.97</v>
      </c>
      <c r="F1004">
        <v>54520265.97</v>
      </c>
      <c r="G1004" t="s">
        <v>497</v>
      </c>
    </row>
    <row r="1005" spans="1:9">
      <c r="A1005" s="178">
        <v>50</v>
      </c>
      <c r="B1005" s="178" t="s">
        <v>617</v>
      </c>
      <c r="C1005" s="178">
        <v>0</v>
      </c>
      <c r="D1005" s="178">
        <v>0</v>
      </c>
      <c r="E1005" s="178">
        <v>0</v>
      </c>
      <c r="F1005">
        <v>0</v>
      </c>
      <c r="G1005" t="s">
        <v>497</v>
      </c>
    </row>
    <row r="1006" spans="1:9">
      <c r="A1006" s="178">
        <v>60</v>
      </c>
      <c r="B1006" s="178" t="s">
        <v>618</v>
      </c>
      <c r="C1006" s="178">
        <v>9343290.8</v>
      </c>
      <c r="D1006" s="178">
        <v>0</v>
      </c>
      <c r="E1006" s="178">
        <v>9343290.8</v>
      </c>
      <c r="F1006">
        <v>9343290.8</v>
      </c>
      <c r="G1006" t="s">
        <v>497</v>
      </c>
    </row>
    <row r="1007" spans="1:9">
      <c r="A1007" s="178">
        <v>70</v>
      </c>
      <c r="B1007" s="178" t="s">
        <v>412</v>
      </c>
      <c r="C1007" s="178">
        <v>3001950.05</v>
      </c>
      <c r="D1007" s="178">
        <v>0</v>
      </c>
      <c r="E1007" s="178">
        <v>3001950.05</v>
      </c>
      <c r="F1007">
        <v>3001950.05</v>
      </c>
      <c r="G1007" t="s">
        <v>497</v>
      </c>
    </row>
    <row r="1008" spans="1:9">
      <c r="A1008" s="178">
        <v>80</v>
      </c>
      <c r="B1008" s="178" t="s">
        <v>413</v>
      </c>
      <c r="C1008" s="178">
        <v>1332469.8</v>
      </c>
      <c r="D1008" s="178">
        <v>0</v>
      </c>
      <c r="E1008" s="178">
        <v>1332469.8</v>
      </c>
      <c r="F1008">
        <v>1332469.8</v>
      </c>
      <c r="G1008" t="s">
        <v>497</v>
      </c>
    </row>
    <row r="1009" spans="1:9">
      <c r="A1009" s="178">
        <v>90</v>
      </c>
      <c r="B1009" s="178" t="s">
        <v>619</v>
      </c>
      <c r="C1009" s="178">
        <v>231417.85</v>
      </c>
      <c r="D1009" s="178">
        <v>0</v>
      </c>
      <c r="E1009" s="178">
        <v>231417.85</v>
      </c>
      <c r="F1009">
        <v>231417.85</v>
      </c>
      <c r="G1009" t="s">
        <v>497</v>
      </c>
    </row>
    <row r="1010" spans="1:9">
      <c r="A1010" s="178">
        <v>100</v>
      </c>
      <c r="B1010" s="178" t="s">
        <v>620</v>
      </c>
      <c r="C1010" s="178">
        <v>4777453.1</v>
      </c>
      <c r="D1010" s="178">
        <v>0</v>
      </c>
      <c r="E1010" s="178">
        <v>4777453.1</v>
      </c>
      <c r="F1010">
        <v>4777453.1</v>
      </c>
      <c r="G1010" t="s">
        <v>497</v>
      </c>
    </row>
    <row r="1011" spans="1:9">
      <c r="A1011" s="178">
        <v>110</v>
      </c>
      <c r="B1011" s="178" t="s">
        <v>621</v>
      </c>
      <c r="C1011" s="178">
        <v>749570.76</v>
      </c>
      <c r="D1011" s="178">
        <v>0</v>
      </c>
      <c r="E1011" s="178">
        <v>749570.76</v>
      </c>
      <c r="F1011">
        <v>749570.76</v>
      </c>
      <c r="G1011" t="s">
        <v>497</v>
      </c>
    </row>
    <row r="1012" spans="1:9">
      <c r="A1012" s="178">
        <v>120</v>
      </c>
      <c r="B1012" s="178" t="s">
        <v>622</v>
      </c>
      <c r="C1012" s="178">
        <v>-103371.69</v>
      </c>
      <c r="D1012" s="178">
        <v>0</v>
      </c>
      <c r="E1012" s="178">
        <v>-103371.69</v>
      </c>
      <c r="F1012">
        <v>-103371.69</v>
      </c>
      <c r="G1012" t="s">
        <v>497</v>
      </c>
    </row>
    <row r="1013" spans="1:9">
      <c r="A1013" s="178">
        <v>130</v>
      </c>
      <c r="B1013" s="178" t="s">
        <v>623</v>
      </c>
      <c r="C1013" s="178">
        <v>188640.4</v>
      </c>
      <c r="D1013" s="178">
        <v>0</v>
      </c>
      <c r="E1013" s="178">
        <v>188640.4</v>
      </c>
      <c r="F1013">
        <v>188640.4</v>
      </c>
      <c r="G1013" t="s">
        <v>497</v>
      </c>
    </row>
    <row r="1014" spans="1:9">
      <c r="A1014" s="178">
        <v>140</v>
      </c>
      <c r="B1014" s="178" t="s">
        <v>624</v>
      </c>
      <c r="C1014" s="178">
        <v>0</v>
      </c>
      <c r="D1014" s="178">
        <v>0</v>
      </c>
      <c r="E1014" s="178">
        <v>0</v>
      </c>
      <c r="F1014">
        <v>0</v>
      </c>
      <c r="G1014" t="s">
        <v>497</v>
      </c>
    </row>
    <row r="1015" spans="1:9">
      <c r="A1015" s="178">
        <v>145</v>
      </c>
      <c r="B1015" s="178" t="s">
        <v>422</v>
      </c>
      <c r="C1015" s="178">
        <v>834839.47</v>
      </c>
      <c r="D1015" s="178">
        <v>0</v>
      </c>
      <c r="E1015" s="178">
        <v>834839.47</v>
      </c>
      <c r="F1015">
        <v>834839.47</v>
      </c>
      <c r="G1015" t="s">
        <v>497</v>
      </c>
    </row>
    <row r="1016" spans="1:9">
      <c r="A1016" s="178">
        <v>150</v>
      </c>
      <c r="B1016" s="178" t="s">
        <v>625</v>
      </c>
      <c r="C1016" s="178">
        <v>3942613.63</v>
      </c>
      <c r="D1016" s="178">
        <v>0</v>
      </c>
      <c r="E1016" s="178">
        <v>3942613.63</v>
      </c>
      <c r="F1016">
        <v>3942613.63</v>
      </c>
      <c r="G1016" t="s">
        <v>497</v>
      </c>
    </row>
    <row r="1017" spans="1:9">
      <c r="A1017" s="178">
        <v>160</v>
      </c>
      <c r="B1017" s="178" t="s">
        <v>626</v>
      </c>
      <c r="C1017" s="178">
        <v>1342979</v>
      </c>
      <c r="D1017" s="178">
        <v>0</v>
      </c>
      <c r="E1017" s="178">
        <v>1342979</v>
      </c>
      <c r="F1017">
        <v>1342979</v>
      </c>
      <c r="G1017" t="s">
        <v>497</v>
      </c>
    </row>
    <row r="1018" spans="1:9">
      <c r="A1018" s="178">
        <v>170</v>
      </c>
      <c r="B1018" s="178" t="s">
        <v>426</v>
      </c>
      <c r="C1018" s="178">
        <v>2599634.63</v>
      </c>
      <c r="D1018" s="178">
        <v>0</v>
      </c>
      <c r="E1018" s="178">
        <v>2599634.63</v>
      </c>
      <c r="F1018">
        <v>2599634.63</v>
      </c>
      <c r="G1018" t="s">
        <v>497</v>
      </c>
    </row>
    <row r="1019" spans="1:9">
      <c r="A1019" s="178">
        <v>190</v>
      </c>
      <c r="B1019" s="178" t="s">
        <v>627</v>
      </c>
      <c r="C1019" s="178">
        <v>0</v>
      </c>
      <c r="D1019" s="178">
        <v>0</v>
      </c>
      <c r="E1019" s="178">
        <v>0</v>
      </c>
      <c r="F1019">
        <v>0</v>
      </c>
      <c r="G1019" t="s">
        <v>497</v>
      </c>
    </row>
    <row r="1020" spans="1:9">
      <c r="A1020" s="178">
        <v>200</v>
      </c>
      <c r="B1020" s="178" t="s">
        <v>426</v>
      </c>
      <c r="C1020" s="178">
        <v>2599634.63</v>
      </c>
      <c r="D1020" s="178">
        <v>0</v>
      </c>
      <c r="E1020" s="178">
        <v>2599634.63</v>
      </c>
      <c r="F1020">
        <v>2599634.63</v>
      </c>
      <c r="G1020" t="s">
        <v>497</v>
      </c>
    </row>
    <row r="1021" spans="1:9">
      <c r="A1021" s="178">
        <v>210</v>
      </c>
      <c r="B1021" s="178" t="s">
        <v>264</v>
      </c>
      <c r="C1021" s="178">
        <v>2599634.63</v>
      </c>
      <c r="D1021" s="178">
        <v>0</v>
      </c>
      <c r="E1021" s="178">
        <v>2599634.63</v>
      </c>
      <c r="F1021">
        <v>2599634.63</v>
      </c>
      <c r="G1021" t="s">
        <v>497</v>
      </c>
    </row>
    <row r="1022" spans="1:9">
      <c r="A1022" s="178">
        <v>220</v>
      </c>
      <c r="B1022" s="178" t="s">
        <v>628</v>
      </c>
      <c r="C1022" s="178">
        <v>0</v>
      </c>
      <c r="D1022" s="178">
        <v>0</v>
      </c>
      <c r="E1022" s="178">
        <v>0</v>
      </c>
      <c r="F1022">
        <v>0</v>
      </c>
      <c r="G1022" t="s">
        <v>497</v>
      </c>
    </row>
    <row r="1023" spans="1:9">
      <c r="A1023" s="178">
        <v>230</v>
      </c>
      <c r="B1023" s="178" t="s">
        <v>266</v>
      </c>
      <c r="C1023" s="178">
        <v>-3608450.5</v>
      </c>
      <c r="D1023" s="178">
        <v>-21992908.56</v>
      </c>
      <c r="E1023" s="178">
        <v>-25601359.06</v>
      </c>
      <c r="F1023">
        <v>-3608450.5</v>
      </c>
      <c r="G1023" t="s">
        <v>497</v>
      </c>
    </row>
    <row r="1024" spans="1:9">
      <c r="A1024" s="178">
        <v>235</v>
      </c>
      <c r="B1024" s="178" t="s">
        <v>629</v>
      </c>
      <c r="C1024" s="178">
        <v>3400</v>
      </c>
      <c r="D1024" s="178">
        <v>-37767.59</v>
      </c>
      <c r="E1024" s="178">
        <v>-34367.59</v>
      </c>
      <c r="F1024">
        <v>3400</v>
      </c>
      <c r="G1024" t="s">
        <v>497</v>
      </c>
    </row>
    <row r="1025" spans="1:9">
      <c r="A1025" s="178">
        <v>240</v>
      </c>
      <c r="B1025" s="178" t="s">
        <v>267</v>
      </c>
      <c r="C1025" s="178">
        <v>-597327.8</v>
      </c>
      <c r="D1025" s="178">
        <v>-46296664.31</v>
      </c>
      <c r="E1025" s="178">
        <v>-46893992.11</v>
      </c>
      <c r="F1025">
        <v>-597327.8</v>
      </c>
      <c r="G1025" t="s">
        <v>497</v>
      </c>
    </row>
    <row r="1026" spans="1:9">
      <c r="A1026" s="178">
        <v>250</v>
      </c>
      <c r="B1026" s="178" t="s">
        <v>268</v>
      </c>
      <c r="C1026" s="178">
        <v>-497029.79</v>
      </c>
      <c r="D1026" s="178">
        <v>-12386436.13</v>
      </c>
      <c r="E1026" s="178">
        <v>-12883465.92</v>
      </c>
      <c r="F1026">
        <v>-497029.79</v>
      </c>
      <c r="G1026" t="s">
        <v>497</v>
      </c>
    </row>
    <row r="1027" spans="1:9">
      <c r="A1027" s="178">
        <v>260</v>
      </c>
      <c r="B1027" s="178" t="s">
        <v>630</v>
      </c>
      <c r="C1027" s="178">
        <v>318071.21</v>
      </c>
      <c r="D1027" s="178">
        <v>-3323474.22</v>
      </c>
      <c r="E1027" s="178">
        <v>-3005403.01</v>
      </c>
      <c r="F1027">
        <v>318071.21</v>
      </c>
      <c r="G1027" t="s">
        <v>497</v>
      </c>
    </row>
    <row r="1028" spans="1:9">
      <c r="A1028" s="178">
        <v>270</v>
      </c>
      <c r="B1028" s="178" t="s">
        <v>269</v>
      </c>
      <c r="C1028" s="178">
        <v>9414626.77</v>
      </c>
      <c r="D1028" s="178">
        <v>-27772288.76</v>
      </c>
      <c r="E1028" s="178">
        <v>-18357661.99</v>
      </c>
      <c r="F1028">
        <v>9414626.77</v>
      </c>
      <c r="G1028" t="s">
        <v>497</v>
      </c>
    </row>
    <row r="1029" spans="1:9">
      <c r="A1029" s="178">
        <v>300</v>
      </c>
      <c r="B1029" s="178" t="s">
        <v>270</v>
      </c>
      <c r="C1029" s="178">
        <v>-4555550.26</v>
      </c>
      <c r="D1029" s="178">
        <v>38222983.98</v>
      </c>
      <c r="E1029" s="178">
        <v>33667433.72</v>
      </c>
      <c r="F1029">
        <v>-4555550.26</v>
      </c>
      <c r="G1029" t="s">
        <v>497</v>
      </c>
    </row>
    <row r="1030" spans="1:9">
      <c r="A1030" s="178">
        <v>310</v>
      </c>
      <c r="B1030" s="178" t="s">
        <v>631</v>
      </c>
      <c r="C1030" s="178">
        <v>0</v>
      </c>
      <c r="D1030" s="178">
        <v>20000</v>
      </c>
      <c r="E1030" s="178">
        <v>20000</v>
      </c>
      <c r="F1030">
        <v>0</v>
      </c>
      <c r="G1030" t="s">
        <v>497</v>
      </c>
    </row>
    <row r="1031" spans="1:9">
      <c r="A1031" s="178">
        <v>320</v>
      </c>
      <c r="B1031" s="178" t="s">
        <v>271</v>
      </c>
      <c r="C1031" s="178">
        <v>-252194.22</v>
      </c>
      <c r="D1031" s="178">
        <v>1515216.79</v>
      </c>
      <c r="E1031" s="178">
        <v>1263022.57</v>
      </c>
      <c r="F1031">
        <v>-252194.22</v>
      </c>
      <c r="G1031" t="s">
        <v>497</v>
      </c>
    </row>
    <row r="1032" spans="1:9">
      <c r="A1032" s="178">
        <v>325</v>
      </c>
      <c r="B1032" s="178" t="s">
        <v>272</v>
      </c>
      <c r="C1032" s="178">
        <v>0</v>
      </c>
      <c r="D1032" s="178">
        <v>7431904.57</v>
      </c>
      <c r="E1032" s="178">
        <v>7431904.57</v>
      </c>
      <c r="F1032">
        <v>0</v>
      </c>
      <c r="G1032" t="s">
        <v>497</v>
      </c>
    </row>
    <row r="1033" spans="1:9">
      <c r="A1033" s="178">
        <v>330</v>
      </c>
      <c r="B1033" s="178" t="s">
        <v>632</v>
      </c>
      <c r="C1033" s="178">
        <v>153414.14</v>
      </c>
      <c r="D1033" s="178">
        <v>1288530.87</v>
      </c>
      <c r="E1033" s="178">
        <v>1441945.01</v>
      </c>
      <c r="F1033">
        <v>153414.14</v>
      </c>
      <c r="G1033" t="s">
        <v>497</v>
      </c>
    </row>
    <row r="1034" spans="1:9">
      <c r="A1034" s="178">
        <v>340</v>
      </c>
      <c r="B1034" s="178" t="s">
        <v>633</v>
      </c>
      <c r="C1034" s="178">
        <v>-145737.77</v>
      </c>
      <c r="D1034" s="178">
        <v>7418396.87</v>
      </c>
      <c r="E1034" s="178">
        <v>7272659.1</v>
      </c>
      <c r="F1034">
        <v>-145737.77</v>
      </c>
      <c r="G1034" t="s">
        <v>497</v>
      </c>
    </row>
    <row r="1035" spans="1:9">
      <c r="A1035" s="178">
        <v>380</v>
      </c>
      <c r="B1035" s="178" t="s">
        <v>634</v>
      </c>
      <c r="C1035" s="178">
        <v>233221.78</v>
      </c>
      <c r="D1035" s="178">
        <v>-55912506.49</v>
      </c>
      <c r="E1035" s="178">
        <v>-55679284.71</v>
      </c>
      <c r="F1035">
        <v>233221.78</v>
      </c>
      <c r="G1035" t="s">
        <v>497</v>
      </c>
    </row>
    <row r="1036" spans="1:9">
      <c r="A1036" s="178">
        <v>390</v>
      </c>
      <c r="B1036" s="178" t="s">
        <v>273</v>
      </c>
      <c r="C1036" s="178">
        <v>0</v>
      </c>
      <c r="D1036" s="178">
        <v>0</v>
      </c>
      <c r="E1036" s="178">
        <v>0</v>
      </c>
      <c r="F1036">
        <v>0</v>
      </c>
      <c r="G1036" t="s">
        <v>497</v>
      </c>
    </row>
    <row r="1037" spans="1:9">
      <c r="A1037" s="178">
        <v>400</v>
      </c>
      <c r="B1037" s="178" t="s">
        <v>274</v>
      </c>
      <c r="C1037" s="178">
        <v>-436347.19</v>
      </c>
      <c r="D1037" s="178">
        <v>54411903.01</v>
      </c>
      <c r="E1037" s="178">
        <v>53975555.82</v>
      </c>
      <c r="F1037">
        <v>-436347.19</v>
      </c>
      <c r="G1037" t="s">
        <v>497</v>
      </c>
    </row>
    <row r="1038" spans="1:9">
      <c r="A1038" s="178">
        <v>405</v>
      </c>
      <c r="B1038" s="178" t="s">
        <v>275</v>
      </c>
      <c r="C1038" s="178">
        <v>0</v>
      </c>
      <c r="D1038" s="178">
        <v>0</v>
      </c>
      <c r="E1038" s="178">
        <v>0</v>
      </c>
      <c r="F1038">
        <v>0</v>
      </c>
      <c r="G1038" t="s">
        <v>497</v>
      </c>
    </row>
    <row r="1039" spans="1:9">
      <c r="A1039" s="178">
        <v>410</v>
      </c>
      <c r="B1039" s="178" t="s">
        <v>276</v>
      </c>
      <c r="C1039" s="178">
        <v>0</v>
      </c>
      <c r="D1039" s="178">
        <v>90900</v>
      </c>
      <c r="E1039" s="178">
        <v>90900</v>
      </c>
      <c r="F1039">
        <v>0</v>
      </c>
      <c r="G1039" t="s">
        <v>497</v>
      </c>
    </row>
    <row r="1040" spans="1:9">
      <c r="A1040" s="178">
        <v>420</v>
      </c>
      <c r="B1040" s="178" t="s">
        <v>277</v>
      </c>
      <c r="C1040" s="178">
        <v>0</v>
      </c>
      <c r="D1040" s="178">
        <v>-1434547.8</v>
      </c>
      <c r="E1040" s="178">
        <v>-1434547.8</v>
      </c>
      <c r="F1040">
        <v>0</v>
      </c>
      <c r="G1040" t="s">
        <v>497</v>
      </c>
    </row>
    <row r="1041" spans="1:9">
      <c r="A1041" s="178">
        <v>425</v>
      </c>
      <c r="B1041" s="178" t="s">
        <v>635</v>
      </c>
      <c r="C1041" s="178">
        <v>0</v>
      </c>
      <c r="D1041" s="178">
        <v>0</v>
      </c>
      <c r="E1041" s="178">
        <v>0</v>
      </c>
      <c r="F1041">
        <v>0</v>
      </c>
      <c r="G1041" t="s">
        <v>497</v>
      </c>
    </row>
    <row r="1042" spans="1:9">
      <c r="A1042" s="178">
        <v>427</v>
      </c>
      <c r="B1042" s="178" t="s">
        <v>636</v>
      </c>
      <c r="C1042" s="178">
        <v>0</v>
      </c>
      <c r="D1042" s="178">
        <v>0</v>
      </c>
      <c r="E1042" s="178">
        <v>0</v>
      </c>
      <c r="F1042">
        <v>0</v>
      </c>
      <c r="G1042" t="s">
        <v>497</v>
      </c>
    </row>
    <row r="1043" spans="1:9">
      <c r="A1043" s="178">
        <v>430</v>
      </c>
      <c r="B1043" s="178" t="s">
        <v>279</v>
      </c>
      <c r="C1043" s="178">
        <v>0</v>
      </c>
      <c r="D1043" s="178">
        <v>93537899.48</v>
      </c>
      <c r="E1043" s="178">
        <v>93537899.48</v>
      </c>
      <c r="F1043">
        <v>0</v>
      </c>
      <c r="G1043" t="s">
        <v>497</v>
      </c>
    </row>
    <row r="1044" spans="1:9">
      <c r="A1044" s="178">
        <v>440</v>
      </c>
      <c r="B1044" s="178" t="s">
        <v>280</v>
      </c>
      <c r="C1044" s="178">
        <v>-436347.19</v>
      </c>
      <c r="D1044" s="178">
        <v>146606154.69</v>
      </c>
      <c r="E1044" s="178">
        <v>146169807.5</v>
      </c>
      <c r="F1044">
        <v>-436347.19</v>
      </c>
      <c r="G1044" t="s">
        <v>497</v>
      </c>
    </row>
    <row r="1045" spans="1:9">
      <c r="A1045" s="178">
        <v>450</v>
      </c>
      <c r="B1045" s="178" t="s">
        <v>281</v>
      </c>
      <c r="C1045" s="178">
        <v>0</v>
      </c>
      <c r="D1045" s="178">
        <v>0</v>
      </c>
      <c r="E1045" s="178">
        <v>0</v>
      </c>
      <c r="F1045">
        <v>0</v>
      </c>
      <c r="G1045" t="s">
        <v>497</v>
      </c>
    </row>
    <row r="1046" spans="1:9">
      <c r="A1046" s="178">
        <v>455</v>
      </c>
      <c r="B1046" s="178" t="s">
        <v>282</v>
      </c>
      <c r="C1046" s="178">
        <v>0</v>
      </c>
      <c r="D1046" s="178">
        <v>-64313798.62</v>
      </c>
      <c r="E1046" s="178">
        <v>-64313798.62</v>
      </c>
      <c r="F1046">
        <v>0</v>
      </c>
      <c r="G1046" t="s">
        <v>497</v>
      </c>
    </row>
    <row r="1047" spans="1:9">
      <c r="A1047" s="178">
        <v>456</v>
      </c>
      <c r="B1047" s="178" t="s">
        <v>637</v>
      </c>
      <c r="C1047" s="178">
        <v>84521.09</v>
      </c>
      <c r="D1047" s="178">
        <v>6077460.57</v>
      </c>
      <c r="E1047" s="178">
        <v>6161981.66</v>
      </c>
      <c r="F1047">
        <v>84521.09</v>
      </c>
      <c r="G1047" t="s">
        <v>497</v>
      </c>
    </row>
    <row r="1048" spans="1:9">
      <c r="A1048" s="178">
        <v>460</v>
      </c>
      <c r="B1048" s="178" t="s">
        <v>283</v>
      </c>
      <c r="C1048" s="178">
        <v>0</v>
      </c>
      <c r="D1048" s="178">
        <v>-32310737.53</v>
      </c>
      <c r="E1048" s="178">
        <v>-32310737.53</v>
      </c>
      <c r="F1048">
        <v>0</v>
      </c>
      <c r="G1048" t="s">
        <v>497</v>
      </c>
    </row>
    <row r="1049" spans="1:9">
      <c r="A1049" s="178">
        <v>470</v>
      </c>
      <c r="B1049" s="178" t="s">
        <v>638</v>
      </c>
      <c r="C1049" s="178">
        <v>72156.24</v>
      </c>
      <c r="D1049" s="178">
        <v>7054019.47</v>
      </c>
      <c r="E1049" s="178">
        <v>7126175.71</v>
      </c>
      <c r="F1049">
        <v>72156.24</v>
      </c>
      <c r="G1049" t="s">
        <v>497</v>
      </c>
    </row>
    <row r="1050" spans="1:9">
      <c r="A1050" s="178">
        <v>480</v>
      </c>
      <c r="B1050" s="178" t="s">
        <v>284</v>
      </c>
      <c r="C1050" s="178">
        <v>399051.72</v>
      </c>
      <c r="D1050" s="178">
        <v>-1095907.34</v>
      </c>
      <c r="E1050" s="178">
        <v>-696855.62</v>
      </c>
      <c r="F1050">
        <v>399051.72</v>
      </c>
      <c r="G1050" t="s">
        <v>497</v>
      </c>
    </row>
    <row r="1051" spans="1:9">
      <c r="A1051" s="178">
        <v>490</v>
      </c>
      <c r="B1051" s="178" t="s">
        <v>639</v>
      </c>
      <c r="C1051" s="178">
        <v>-247270.55</v>
      </c>
      <c r="D1051" s="178">
        <v>230021.21</v>
      </c>
      <c r="E1051" s="178">
        <v>-17249.34</v>
      </c>
      <c r="F1051">
        <v>-247270.55</v>
      </c>
      <c r="G1051" t="s">
        <v>497</v>
      </c>
    </row>
    <row r="1052" spans="1:9">
      <c r="A1052" s="178">
        <v>500</v>
      </c>
      <c r="B1052" s="178" t="s">
        <v>285</v>
      </c>
      <c r="C1052" s="178">
        <v>0</v>
      </c>
      <c r="D1052" s="178">
        <v>-6026703.42</v>
      </c>
      <c r="E1052" s="178">
        <v>-6026703.42</v>
      </c>
      <c r="F1052">
        <v>0</v>
      </c>
      <c r="G1052" t="s">
        <v>497</v>
      </c>
    </row>
    <row r="1053" spans="1:9">
      <c r="A1053" s="178">
        <v>510</v>
      </c>
      <c r="B1053" s="178" t="s">
        <v>640</v>
      </c>
      <c r="C1053" s="178">
        <v>61663.99</v>
      </c>
      <c r="D1053" s="178">
        <v>3606574.39</v>
      </c>
      <c r="E1053" s="178">
        <v>3668238.38</v>
      </c>
      <c r="F1053">
        <v>61663.99</v>
      </c>
      <c r="G1053" t="s">
        <v>497</v>
      </c>
    </row>
    <row r="1054" spans="1:9">
      <c r="A1054" s="178">
        <v>512</v>
      </c>
      <c r="B1054" s="178" t="s">
        <v>286</v>
      </c>
      <c r="C1054" s="178">
        <v>0</v>
      </c>
      <c r="D1054" s="178">
        <v>-564457.99</v>
      </c>
      <c r="E1054" s="178">
        <v>-564457.99</v>
      </c>
      <c r="F1054">
        <v>0</v>
      </c>
      <c r="G1054" t="s">
        <v>497</v>
      </c>
    </row>
    <row r="1055" spans="1:9">
      <c r="A1055" s="178">
        <v>514</v>
      </c>
      <c r="B1055" s="178" t="s">
        <v>641</v>
      </c>
      <c r="C1055" s="178">
        <v>4953.98</v>
      </c>
      <c r="D1055" s="178">
        <v>266746.64</v>
      </c>
      <c r="E1055" s="178">
        <v>271700.62</v>
      </c>
      <c r="F1055">
        <v>4953.98</v>
      </c>
      <c r="G1055" t="s">
        <v>497</v>
      </c>
    </row>
    <row r="1056" spans="1:9">
      <c r="A1056" s="178">
        <v>520</v>
      </c>
      <c r="B1056" s="178" t="s">
        <v>642</v>
      </c>
      <c r="C1056" s="178">
        <v>0</v>
      </c>
      <c r="D1056" s="178">
        <v>0</v>
      </c>
      <c r="E1056" s="178">
        <v>0</v>
      </c>
      <c r="F1056">
        <v>0</v>
      </c>
      <c r="G1056" t="s">
        <v>497</v>
      </c>
    </row>
    <row r="1057" spans="1:9">
      <c r="A1057" s="178">
        <v>530</v>
      </c>
      <c r="B1057" s="178" t="s">
        <v>643</v>
      </c>
      <c r="C1057" s="178">
        <v>0</v>
      </c>
      <c r="D1057" s="178">
        <v>0</v>
      </c>
      <c r="E1057" s="178">
        <v>0</v>
      </c>
      <c r="F1057">
        <v>0</v>
      </c>
      <c r="G1057" t="s">
        <v>497</v>
      </c>
    </row>
    <row r="1058" spans="1:9">
      <c r="A1058" s="178">
        <v>540</v>
      </c>
      <c r="B1058" s="178" t="s">
        <v>644</v>
      </c>
      <c r="C1058" s="178">
        <v>0</v>
      </c>
      <c r="D1058" s="178">
        <v>0</v>
      </c>
      <c r="E1058" s="178">
        <v>0</v>
      </c>
      <c r="F1058">
        <v>0</v>
      </c>
      <c r="G1058" t="s">
        <v>497</v>
      </c>
    </row>
    <row r="1059" spans="1:9">
      <c r="A1059" s="178">
        <v>550</v>
      </c>
      <c r="B1059" s="178" t="s">
        <v>645</v>
      </c>
      <c r="C1059" s="178">
        <v>0</v>
      </c>
      <c r="D1059" s="178">
        <v>0</v>
      </c>
      <c r="E1059" s="178">
        <v>0</v>
      </c>
      <c r="F1059">
        <v>0</v>
      </c>
      <c r="G1059" t="s">
        <v>497</v>
      </c>
    </row>
    <row r="1060" spans="1:9">
      <c r="A1060" s="178">
        <v>560</v>
      </c>
      <c r="B1060" s="178" t="s">
        <v>646</v>
      </c>
      <c r="C1060" s="178">
        <v>0</v>
      </c>
      <c r="D1060" s="178">
        <v>0</v>
      </c>
      <c r="E1060" s="178">
        <v>0</v>
      </c>
      <c r="F1060">
        <v>0</v>
      </c>
      <c r="G1060" t="s">
        <v>497</v>
      </c>
    </row>
    <row r="1061" spans="1:9">
      <c r="A1061" s="178">
        <v>570</v>
      </c>
      <c r="B1061" s="178" t="s">
        <v>647</v>
      </c>
      <c r="C1061" s="178">
        <v>0</v>
      </c>
      <c r="D1061" s="178">
        <v>0</v>
      </c>
      <c r="E1061" s="178">
        <v>0</v>
      </c>
      <c r="F1061">
        <v>0</v>
      </c>
      <c r="G1061" t="s">
        <v>497</v>
      </c>
    </row>
    <row r="1062" spans="1:9">
      <c r="A1062" s="178">
        <v>580</v>
      </c>
      <c r="B1062" s="178" t="s">
        <v>290</v>
      </c>
      <c r="C1062" s="178">
        <v>0</v>
      </c>
      <c r="D1062" s="178">
        <v>0</v>
      </c>
      <c r="E1062" s="178">
        <v>0</v>
      </c>
      <c r="F1062">
        <v>0</v>
      </c>
      <c r="G1062" t="s">
        <v>497</v>
      </c>
    </row>
    <row r="1063" spans="1:9">
      <c r="A1063" s="178">
        <v>590</v>
      </c>
      <c r="B1063" s="178" t="s">
        <v>648</v>
      </c>
      <c r="C1063" s="178">
        <v>0</v>
      </c>
      <c r="D1063" s="178">
        <v>0</v>
      </c>
      <c r="E1063" s="178">
        <v>0</v>
      </c>
      <c r="F1063">
        <v>0</v>
      </c>
      <c r="G1063" t="s">
        <v>497</v>
      </c>
    </row>
    <row r="1064" spans="1:9">
      <c r="A1064" s="178">
        <v>600</v>
      </c>
      <c r="B1064" s="178" t="s">
        <v>291</v>
      </c>
      <c r="C1064" s="178">
        <v>0</v>
      </c>
      <c r="D1064" s="178">
        <v>0</v>
      </c>
      <c r="E1064" s="178">
        <v>0</v>
      </c>
      <c r="F1064">
        <v>0</v>
      </c>
      <c r="G1064" t="s">
        <v>497</v>
      </c>
    </row>
    <row r="1065" spans="1:9">
      <c r="A1065" s="178">
        <v>610</v>
      </c>
      <c r="B1065" s="178" t="s">
        <v>649</v>
      </c>
      <c r="C1065" s="178">
        <v>0</v>
      </c>
      <c r="D1065" s="178">
        <v>0</v>
      </c>
      <c r="E1065" s="178">
        <v>0</v>
      </c>
      <c r="F1065">
        <v>0</v>
      </c>
      <c r="G1065" t="s">
        <v>497</v>
      </c>
    </row>
    <row r="1066" spans="1:9">
      <c r="A1066" s="178">
        <v>615</v>
      </c>
      <c r="B1066" s="178" t="s">
        <v>674</v>
      </c>
      <c r="C1066" s="178">
        <v>0</v>
      </c>
      <c r="D1066" s="178">
        <v>-1053702.05</v>
      </c>
      <c r="E1066" s="178">
        <v>-1053702.05</v>
      </c>
      <c r="F1066">
        <v>0</v>
      </c>
      <c r="G1066" t="s">
        <v>497</v>
      </c>
    </row>
    <row r="1067" spans="1:9">
      <c r="A1067" s="178">
        <v>620</v>
      </c>
      <c r="B1067" s="178" t="s">
        <v>292</v>
      </c>
      <c r="C1067" s="178">
        <v>0</v>
      </c>
      <c r="D1067" s="178">
        <v>0</v>
      </c>
      <c r="E1067" s="178">
        <v>0</v>
      </c>
      <c r="F1067">
        <v>0</v>
      </c>
      <c r="G1067" t="s">
        <v>497</v>
      </c>
    </row>
    <row r="1068" spans="1:9">
      <c r="A1068" s="178">
        <v>630</v>
      </c>
      <c r="B1068" s="178" t="s">
        <v>293</v>
      </c>
      <c r="C1068" s="178">
        <v>0</v>
      </c>
      <c r="D1068" s="178">
        <v>0</v>
      </c>
      <c r="E1068" s="178">
        <v>0</v>
      </c>
      <c r="F1068">
        <v>0</v>
      </c>
      <c r="G1068" t="s">
        <v>497</v>
      </c>
    </row>
    <row r="1069" spans="1:9">
      <c r="A1069" s="178">
        <v>635</v>
      </c>
      <c r="B1069" s="178" t="s">
        <v>675</v>
      </c>
      <c r="C1069" s="178">
        <v>0</v>
      </c>
      <c r="D1069" s="178">
        <v>0</v>
      </c>
      <c r="E1069" s="178">
        <v>0</v>
      </c>
      <c r="F1069">
        <v>0</v>
      </c>
      <c r="G1069" t="s">
        <v>497</v>
      </c>
    </row>
    <row r="1070" spans="1:9">
      <c r="A1070" s="178">
        <v>640</v>
      </c>
      <c r="B1070" s="178" t="s">
        <v>294</v>
      </c>
      <c r="C1070" s="178">
        <v>375076.47</v>
      </c>
      <c r="D1070" s="178">
        <v>-88130484.67</v>
      </c>
      <c r="E1070" s="178">
        <v>-87755408.2</v>
      </c>
      <c r="F1070">
        <v>375076.47</v>
      </c>
      <c r="G1070" t="s">
        <v>497</v>
      </c>
    </row>
    <row r="1071" spans="1:9">
      <c r="A1071" s="178">
        <v>650</v>
      </c>
      <c r="B1071" s="178" t="s">
        <v>295</v>
      </c>
      <c r="C1071" s="178">
        <v>2771585.69</v>
      </c>
      <c r="D1071" s="178">
        <v>2563163.53</v>
      </c>
      <c r="E1071" s="178">
        <v>5334749.22</v>
      </c>
      <c r="F1071">
        <v>2771585.69</v>
      </c>
      <c r="G1071" t="s">
        <v>497</v>
      </c>
    </row>
    <row r="1072" spans="1:9">
      <c r="A1072" s="178" t="s">
        <v>452</v>
      </c>
      <c r="B1072" s="178" t="s">
        <v>402</v>
      </c>
      <c r="C1072" s="178" t="s">
        <v>609</v>
      </c>
      <c r="D1072" s="178" t="s">
        <v>610</v>
      </c>
      <c r="E1072" s="178" t="s">
        <v>611</v>
      </c>
      <c r="F1072" t="s">
        <v>612</v>
      </c>
      <c r="G1072" t="s">
        <v>405</v>
      </c>
    </row>
    <row r="1073" spans="1:9">
      <c r="A1073" s="178">
        <v>10</v>
      </c>
      <c r="B1073" s="178" t="s">
        <v>613</v>
      </c>
      <c r="C1073" s="178">
        <v>0</v>
      </c>
      <c r="D1073" s="178">
        <v>0</v>
      </c>
      <c r="E1073" s="178">
        <v>0</v>
      </c>
      <c r="F1073">
        <v>0</v>
      </c>
      <c r="G1073" t="s">
        <v>497</v>
      </c>
    </row>
    <row r="1074" spans="1:9">
      <c r="A1074" s="178">
        <v>20</v>
      </c>
      <c r="B1074" s="178" t="s">
        <v>406</v>
      </c>
      <c r="C1074" s="178">
        <v>5164521.59</v>
      </c>
      <c r="D1074" s="178">
        <v>0</v>
      </c>
      <c r="E1074" s="178">
        <v>5164521.59</v>
      </c>
      <c r="F1074">
        <v>5164521.59</v>
      </c>
      <c r="G1074" t="s">
        <v>497</v>
      </c>
    </row>
    <row r="1075" spans="1:9">
      <c r="A1075" s="178">
        <v>30</v>
      </c>
      <c r="B1075" s="178" t="s">
        <v>614</v>
      </c>
      <c r="C1075" s="178">
        <v>72469.58</v>
      </c>
      <c r="D1075" s="178">
        <v>0</v>
      </c>
      <c r="E1075" s="178">
        <v>72469.58</v>
      </c>
      <c r="F1075">
        <v>72469.58</v>
      </c>
      <c r="G1075" t="s">
        <v>497</v>
      </c>
    </row>
    <row r="1076" spans="1:9">
      <c r="A1076" s="178">
        <v>35</v>
      </c>
      <c r="B1076" s="178" t="s">
        <v>615</v>
      </c>
      <c r="C1076" s="178">
        <v>5236991.17</v>
      </c>
      <c r="D1076" s="178">
        <v>0</v>
      </c>
      <c r="E1076" s="178">
        <v>5236991.17</v>
      </c>
      <c r="F1076">
        <v>5236991.17</v>
      </c>
      <c r="G1076" t="s">
        <v>497</v>
      </c>
    </row>
    <row r="1077" spans="1:9">
      <c r="A1077" s="178">
        <v>40</v>
      </c>
      <c r="B1077" s="178" t="s">
        <v>616</v>
      </c>
      <c r="C1077" s="178">
        <v>3185314.67</v>
      </c>
      <c r="D1077" s="178">
        <v>0</v>
      </c>
      <c r="E1077" s="178">
        <v>3185314.67</v>
      </c>
      <c r="F1077">
        <v>3185314.67</v>
      </c>
      <c r="G1077" t="s">
        <v>497</v>
      </c>
    </row>
    <row r="1078" spans="1:9">
      <c r="A1078" s="178">
        <v>50</v>
      </c>
      <c r="B1078" s="178" t="s">
        <v>617</v>
      </c>
      <c r="C1078" s="178">
        <v>0</v>
      </c>
      <c r="D1078" s="178">
        <v>0</v>
      </c>
      <c r="E1078" s="178">
        <v>0</v>
      </c>
      <c r="F1078">
        <v>0</v>
      </c>
      <c r="G1078" t="s">
        <v>497</v>
      </c>
    </row>
    <row r="1079" spans="1:9">
      <c r="A1079" s="178">
        <v>60</v>
      </c>
      <c r="B1079" s="178" t="s">
        <v>618</v>
      </c>
      <c r="C1079" s="178">
        <v>2051676.5</v>
      </c>
      <c r="D1079" s="178">
        <v>0</v>
      </c>
      <c r="E1079" s="178">
        <v>2051676.5</v>
      </c>
      <c r="F1079">
        <v>2051676.5</v>
      </c>
      <c r="G1079" t="s">
        <v>497</v>
      </c>
    </row>
    <row r="1080" spans="1:9">
      <c r="A1080" s="178">
        <v>70</v>
      </c>
      <c r="B1080" s="178" t="s">
        <v>412</v>
      </c>
      <c r="C1080" s="178">
        <v>1165663.42</v>
      </c>
      <c r="D1080" s="178">
        <v>0</v>
      </c>
      <c r="E1080" s="178">
        <v>1165663.42</v>
      </c>
      <c r="F1080">
        <v>1165663.42</v>
      </c>
      <c r="G1080" t="s">
        <v>497</v>
      </c>
    </row>
    <row r="1081" spans="1:9">
      <c r="A1081" s="178">
        <v>80</v>
      </c>
      <c r="B1081" s="178" t="s">
        <v>413</v>
      </c>
      <c r="C1081" s="178">
        <v>6026.41</v>
      </c>
      <c r="D1081" s="178">
        <v>0</v>
      </c>
      <c r="E1081" s="178">
        <v>6026.41</v>
      </c>
      <c r="F1081">
        <v>6026.41</v>
      </c>
      <c r="G1081" t="s">
        <v>497</v>
      </c>
    </row>
    <row r="1082" spans="1:9">
      <c r="A1082" s="178">
        <v>90</v>
      </c>
      <c r="B1082" s="178" t="s">
        <v>619</v>
      </c>
      <c r="C1082" s="178">
        <v>296237.73</v>
      </c>
      <c r="D1082" s="178">
        <v>0</v>
      </c>
      <c r="E1082" s="178">
        <v>296237.73</v>
      </c>
      <c r="F1082">
        <v>296237.73</v>
      </c>
      <c r="G1082" t="s">
        <v>497</v>
      </c>
    </row>
    <row r="1083" spans="1:9">
      <c r="A1083" s="178">
        <v>100</v>
      </c>
      <c r="B1083" s="178" t="s">
        <v>620</v>
      </c>
      <c r="C1083" s="178">
        <v>583748.94</v>
      </c>
      <c r="D1083" s="178">
        <v>0</v>
      </c>
      <c r="E1083" s="178">
        <v>583748.94</v>
      </c>
      <c r="F1083">
        <v>583748.94</v>
      </c>
      <c r="G1083" t="s">
        <v>497</v>
      </c>
    </row>
    <row r="1084" spans="1:9">
      <c r="A1084" s="178">
        <v>110</v>
      </c>
      <c r="B1084" s="178" t="s">
        <v>621</v>
      </c>
      <c r="C1084" s="178">
        <v>0</v>
      </c>
      <c r="D1084" s="178">
        <v>0</v>
      </c>
      <c r="E1084" s="178">
        <v>0</v>
      </c>
      <c r="F1084">
        <v>0</v>
      </c>
      <c r="G1084" t="s">
        <v>497</v>
      </c>
    </row>
    <row r="1085" spans="1:9">
      <c r="A1085" s="178">
        <v>120</v>
      </c>
      <c r="B1085" s="178" t="s">
        <v>622</v>
      </c>
      <c r="C1085" s="178">
        <v>-12931.92</v>
      </c>
      <c r="D1085" s="178">
        <v>0</v>
      </c>
      <c r="E1085" s="178">
        <v>-12931.92</v>
      </c>
      <c r="F1085">
        <v>-12931.92</v>
      </c>
      <c r="G1085" t="s">
        <v>497</v>
      </c>
    </row>
    <row r="1086" spans="1:9">
      <c r="A1086" s="178">
        <v>130</v>
      </c>
      <c r="B1086" s="178" t="s">
        <v>623</v>
      </c>
      <c r="C1086" s="178">
        <v>0</v>
      </c>
      <c r="D1086" s="178">
        <v>0</v>
      </c>
      <c r="E1086" s="178">
        <v>0</v>
      </c>
      <c r="F1086">
        <v>0</v>
      </c>
      <c r="G1086" t="s">
        <v>497</v>
      </c>
    </row>
    <row r="1087" spans="1:9">
      <c r="A1087" s="178">
        <v>140</v>
      </c>
      <c r="B1087" s="178" t="s">
        <v>624</v>
      </c>
      <c r="C1087" s="178">
        <v>4.97</v>
      </c>
      <c r="D1087" s="178">
        <v>0</v>
      </c>
      <c r="E1087" s="178">
        <v>4.97</v>
      </c>
      <c r="F1087">
        <v>4.97</v>
      </c>
      <c r="G1087" t="s">
        <v>497</v>
      </c>
    </row>
    <row r="1088" spans="1:9">
      <c r="A1088" s="178">
        <v>145</v>
      </c>
      <c r="B1088" s="178" t="s">
        <v>422</v>
      </c>
      <c r="C1088" s="178">
        <v>-12936.89</v>
      </c>
      <c r="D1088" s="178">
        <v>0</v>
      </c>
      <c r="E1088" s="178">
        <v>-12936.89</v>
      </c>
      <c r="F1088">
        <v>-12936.89</v>
      </c>
      <c r="G1088" t="s">
        <v>497</v>
      </c>
    </row>
    <row r="1089" spans="1:9">
      <c r="A1089" s="178">
        <v>150</v>
      </c>
      <c r="B1089" s="178" t="s">
        <v>625</v>
      </c>
      <c r="C1089" s="178">
        <v>596685.83</v>
      </c>
      <c r="D1089" s="178">
        <v>0</v>
      </c>
      <c r="E1089" s="178">
        <v>596685.83</v>
      </c>
      <c r="F1089">
        <v>596685.83</v>
      </c>
      <c r="G1089" t="s">
        <v>497</v>
      </c>
    </row>
    <row r="1090" spans="1:9">
      <c r="A1090" s="178">
        <v>160</v>
      </c>
      <c r="B1090" s="178" t="s">
        <v>626</v>
      </c>
      <c r="C1090" s="178">
        <v>93350</v>
      </c>
      <c r="D1090" s="178">
        <v>0</v>
      </c>
      <c r="E1090" s="178">
        <v>93350</v>
      </c>
      <c r="F1090">
        <v>93350</v>
      </c>
      <c r="G1090" t="s">
        <v>497</v>
      </c>
    </row>
    <row r="1091" spans="1:9">
      <c r="A1091" s="178">
        <v>170</v>
      </c>
      <c r="B1091" s="178" t="s">
        <v>426</v>
      </c>
      <c r="C1091" s="178">
        <v>503335.83</v>
      </c>
      <c r="D1091" s="178">
        <v>0</v>
      </c>
      <c r="E1091" s="178">
        <v>503335.83</v>
      </c>
      <c r="F1091">
        <v>503335.83</v>
      </c>
      <c r="G1091" t="s">
        <v>497</v>
      </c>
    </row>
    <row r="1092" spans="1:9">
      <c r="A1092" s="178">
        <v>190</v>
      </c>
      <c r="B1092" s="178" t="s">
        <v>627</v>
      </c>
      <c r="C1092" s="178">
        <v>0</v>
      </c>
      <c r="D1092" s="178">
        <v>0</v>
      </c>
      <c r="E1092" s="178">
        <v>0</v>
      </c>
      <c r="F1092">
        <v>0</v>
      </c>
      <c r="G1092" t="s">
        <v>497</v>
      </c>
    </row>
    <row r="1093" spans="1:9">
      <c r="A1093" s="178">
        <v>200</v>
      </c>
      <c r="B1093" s="178" t="s">
        <v>426</v>
      </c>
      <c r="C1093" s="178">
        <v>503335.83</v>
      </c>
      <c r="D1093" s="178">
        <v>0</v>
      </c>
      <c r="E1093" s="178">
        <v>503335.83</v>
      </c>
      <c r="F1093">
        <v>503335.83</v>
      </c>
      <c r="G1093" t="s">
        <v>497</v>
      </c>
    </row>
    <row r="1094" spans="1:9">
      <c r="A1094" s="178">
        <v>210</v>
      </c>
      <c r="B1094" s="178" t="s">
        <v>264</v>
      </c>
      <c r="C1094" s="178">
        <v>503335.83</v>
      </c>
      <c r="D1094" s="178">
        <v>0</v>
      </c>
      <c r="E1094" s="178">
        <v>503335.83</v>
      </c>
      <c r="F1094">
        <v>503335.83</v>
      </c>
      <c r="G1094" t="s">
        <v>497</v>
      </c>
    </row>
    <row r="1095" spans="1:9">
      <c r="A1095" s="178">
        <v>220</v>
      </c>
      <c r="B1095" s="178" t="s">
        <v>628</v>
      </c>
      <c r="C1095" s="178">
        <v>0</v>
      </c>
      <c r="D1095" s="178">
        <v>0</v>
      </c>
      <c r="E1095" s="178">
        <v>0</v>
      </c>
      <c r="F1095">
        <v>0</v>
      </c>
      <c r="G1095" t="s">
        <v>497</v>
      </c>
    </row>
    <row r="1096" spans="1:9">
      <c r="A1096" s="178">
        <v>230</v>
      </c>
      <c r="B1096" s="178" t="s">
        <v>266</v>
      </c>
      <c r="C1096" s="178">
        <v>-265486.99</v>
      </c>
      <c r="D1096" s="178">
        <v>-1579792</v>
      </c>
      <c r="E1096" s="178">
        <v>-1845278.99</v>
      </c>
      <c r="F1096">
        <v>-265486.99</v>
      </c>
      <c r="G1096" t="s">
        <v>497</v>
      </c>
    </row>
    <row r="1097" spans="1:9">
      <c r="A1097" s="178">
        <v>235</v>
      </c>
      <c r="B1097" s="178" t="s">
        <v>629</v>
      </c>
      <c r="C1097" s="178">
        <v>0</v>
      </c>
      <c r="D1097" s="178">
        <v>500</v>
      </c>
      <c r="E1097" s="178">
        <v>500</v>
      </c>
      <c r="F1097">
        <v>0</v>
      </c>
      <c r="G1097" t="s">
        <v>497</v>
      </c>
    </row>
    <row r="1098" spans="1:9">
      <c r="A1098" s="178">
        <v>240</v>
      </c>
      <c r="B1098" s="178" t="s">
        <v>267</v>
      </c>
      <c r="C1098" s="178">
        <v>-1435682.43</v>
      </c>
      <c r="D1098" s="178">
        <v>-11005941.47</v>
      </c>
      <c r="E1098" s="178">
        <v>-12441623.9</v>
      </c>
      <c r="F1098">
        <v>-1435682.43</v>
      </c>
      <c r="G1098" t="s">
        <v>497</v>
      </c>
    </row>
    <row r="1099" spans="1:9">
      <c r="A1099" s="178">
        <v>250</v>
      </c>
      <c r="B1099" s="178" t="s">
        <v>268</v>
      </c>
      <c r="C1099" s="178">
        <v>-567109.76</v>
      </c>
      <c r="D1099" s="178">
        <v>-294926.47</v>
      </c>
      <c r="E1099" s="178">
        <v>-862036.23</v>
      </c>
      <c r="F1099">
        <v>-567109.76</v>
      </c>
      <c r="G1099" t="s">
        <v>497</v>
      </c>
    </row>
    <row r="1100" spans="1:9">
      <c r="A1100" s="178">
        <v>260</v>
      </c>
      <c r="B1100" s="178" t="s">
        <v>630</v>
      </c>
      <c r="C1100" s="178">
        <v>-17918291.75</v>
      </c>
      <c r="D1100" s="178">
        <v>-9593851.56</v>
      </c>
      <c r="E1100" s="178">
        <v>-27512143.31</v>
      </c>
      <c r="F1100">
        <v>-17918291.75</v>
      </c>
      <c r="G1100" t="s">
        <v>497</v>
      </c>
    </row>
    <row r="1101" spans="1:9">
      <c r="A1101" s="178">
        <v>270</v>
      </c>
      <c r="B1101" s="178" t="s">
        <v>269</v>
      </c>
      <c r="C1101" s="178">
        <v>-6418.64</v>
      </c>
      <c r="D1101" s="178">
        <v>320470.31</v>
      </c>
      <c r="E1101" s="178">
        <v>314051.67</v>
      </c>
      <c r="F1101">
        <v>-6418.64</v>
      </c>
      <c r="G1101" t="s">
        <v>497</v>
      </c>
    </row>
    <row r="1102" spans="1:9">
      <c r="A1102" s="178">
        <v>300</v>
      </c>
      <c r="B1102" s="178" t="s">
        <v>270</v>
      </c>
      <c r="C1102" s="178">
        <v>418665.86</v>
      </c>
      <c r="D1102" s="178">
        <v>242609.25</v>
      </c>
      <c r="E1102" s="178">
        <v>661275.11</v>
      </c>
      <c r="F1102">
        <v>418665.86</v>
      </c>
      <c r="G1102" t="s">
        <v>497</v>
      </c>
    </row>
    <row r="1103" spans="1:9">
      <c r="A1103" s="178">
        <v>310</v>
      </c>
      <c r="B1103" s="178" t="s">
        <v>631</v>
      </c>
      <c r="C1103" s="178">
        <v>-1619.74</v>
      </c>
      <c r="D1103" s="178">
        <v>5407.49</v>
      </c>
      <c r="E1103" s="178">
        <v>3787.75</v>
      </c>
      <c r="F1103">
        <v>-1619.74</v>
      </c>
      <c r="G1103" t="s">
        <v>497</v>
      </c>
    </row>
    <row r="1104" spans="1:9">
      <c r="A1104" s="178">
        <v>320</v>
      </c>
      <c r="B1104" s="178" t="s">
        <v>271</v>
      </c>
      <c r="C1104" s="178">
        <v>131826634.47</v>
      </c>
      <c r="D1104" s="178">
        <v>4783956.21</v>
      </c>
      <c r="E1104" s="178">
        <v>136610590.68</v>
      </c>
      <c r="F1104">
        <v>131826634.47</v>
      </c>
      <c r="G1104" t="s">
        <v>497</v>
      </c>
    </row>
    <row r="1105" spans="1:9">
      <c r="A1105" s="178">
        <v>325</v>
      </c>
      <c r="B1105" s="178" t="s">
        <v>272</v>
      </c>
      <c r="C1105" s="178">
        <v>17457</v>
      </c>
      <c r="D1105" s="178">
        <v>19010.25</v>
      </c>
      <c r="E1105" s="178">
        <v>36467.25</v>
      </c>
      <c r="F1105">
        <v>17457</v>
      </c>
      <c r="G1105" t="s">
        <v>497</v>
      </c>
    </row>
    <row r="1106" spans="1:9">
      <c r="A1106" s="178">
        <v>330</v>
      </c>
      <c r="B1106" s="178" t="s">
        <v>632</v>
      </c>
      <c r="C1106" s="178">
        <v>48214.09</v>
      </c>
      <c r="D1106" s="178">
        <v>1740712.37</v>
      </c>
      <c r="E1106" s="178">
        <v>1788926.46</v>
      </c>
      <c r="F1106">
        <v>48214.09</v>
      </c>
      <c r="G1106" t="s">
        <v>497</v>
      </c>
    </row>
    <row r="1107" spans="1:9">
      <c r="A1107" s="178">
        <v>340</v>
      </c>
      <c r="B1107" s="178" t="s">
        <v>633</v>
      </c>
      <c r="C1107" s="178">
        <v>-206209.18</v>
      </c>
      <c r="D1107" s="178">
        <v>1212625.2</v>
      </c>
      <c r="E1107" s="178">
        <v>1006416.02</v>
      </c>
      <c r="F1107">
        <v>-206209.18</v>
      </c>
      <c r="G1107" t="s">
        <v>497</v>
      </c>
    </row>
    <row r="1108" spans="1:9">
      <c r="A1108" s="178">
        <v>380</v>
      </c>
      <c r="B1108" s="178" t="s">
        <v>634</v>
      </c>
      <c r="C1108" s="178">
        <v>111910152.93</v>
      </c>
      <c r="D1108" s="178">
        <v>-14149220.42</v>
      </c>
      <c r="E1108" s="178">
        <v>97760932.51</v>
      </c>
      <c r="F1108">
        <v>111910152.93</v>
      </c>
      <c r="G1108" t="s">
        <v>497</v>
      </c>
    </row>
    <row r="1109" spans="1:9">
      <c r="A1109" s="178">
        <v>390</v>
      </c>
      <c r="B1109" s="178" t="s">
        <v>273</v>
      </c>
      <c r="C1109" s="178">
        <v>0</v>
      </c>
      <c r="D1109" s="178">
        <v>0</v>
      </c>
      <c r="E1109" s="178">
        <v>0</v>
      </c>
      <c r="F1109">
        <v>0</v>
      </c>
      <c r="G1109" t="s">
        <v>497</v>
      </c>
    </row>
    <row r="1110" spans="1:9">
      <c r="A1110" s="178">
        <v>400</v>
      </c>
      <c r="B1110" s="178" t="s">
        <v>274</v>
      </c>
      <c r="C1110" s="178">
        <v>0</v>
      </c>
      <c r="D1110" s="178">
        <v>0</v>
      </c>
      <c r="E1110" s="178">
        <v>0</v>
      </c>
      <c r="F1110">
        <v>0</v>
      </c>
      <c r="G1110" t="s">
        <v>497</v>
      </c>
    </row>
    <row r="1111" spans="1:9">
      <c r="A1111" s="178">
        <v>405</v>
      </c>
      <c r="B1111" s="178" t="s">
        <v>275</v>
      </c>
      <c r="C1111" s="178">
        <v>0</v>
      </c>
      <c r="D1111" s="178">
        <v>0</v>
      </c>
      <c r="E1111" s="178">
        <v>0</v>
      </c>
      <c r="F1111">
        <v>0</v>
      </c>
      <c r="G1111" t="s">
        <v>497</v>
      </c>
    </row>
    <row r="1112" spans="1:9">
      <c r="A1112" s="178">
        <v>410</v>
      </c>
      <c r="B1112" s="178" t="s">
        <v>276</v>
      </c>
      <c r="C1112" s="178">
        <v>0</v>
      </c>
      <c r="D1112" s="178">
        <v>22380000</v>
      </c>
      <c r="E1112" s="178">
        <v>22380000</v>
      </c>
      <c r="F1112">
        <v>0</v>
      </c>
      <c r="G1112" t="s">
        <v>497</v>
      </c>
    </row>
    <row r="1113" spans="1:9">
      <c r="A1113" s="178">
        <v>420</v>
      </c>
      <c r="B1113" s="178" t="s">
        <v>277</v>
      </c>
      <c r="C1113" s="178">
        <v>0</v>
      </c>
      <c r="D1113" s="178">
        <v>-408500</v>
      </c>
      <c r="E1113" s="178">
        <v>-408500</v>
      </c>
      <c r="F1113">
        <v>0</v>
      </c>
      <c r="G1113" t="s">
        <v>497</v>
      </c>
    </row>
    <row r="1114" spans="1:9">
      <c r="A1114" s="178">
        <v>425</v>
      </c>
      <c r="B1114" s="178" t="s">
        <v>635</v>
      </c>
      <c r="C1114" s="178">
        <v>0</v>
      </c>
      <c r="D1114" s="178">
        <v>100000</v>
      </c>
      <c r="E1114" s="178">
        <v>100000</v>
      </c>
      <c r="F1114">
        <v>0</v>
      </c>
      <c r="G1114" t="s">
        <v>497</v>
      </c>
    </row>
    <row r="1115" spans="1:9">
      <c r="A1115" s="178">
        <v>427</v>
      </c>
      <c r="B1115" s="178" t="s">
        <v>636</v>
      </c>
      <c r="C1115" s="178">
        <v>0</v>
      </c>
      <c r="D1115" s="178">
        <v>0</v>
      </c>
      <c r="E1115" s="178">
        <v>0</v>
      </c>
      <c r="F1115">
        <v>0</v>
      </c>
      <c r="G1115" t="s">
        <v>497</v>
      </c>
    </row>
    <row r="1116" spans="1:9">
      <c r="A1116" s="178">
        <v>430</v>
      </c>
      <c r="B1116" s="178" t="s">
        <v>279</v>
      </c>
      <c r="C1116" s="178">
        <v>0</v>
      </c>
      <c r="D1116" s="178">
        <v>-1079254.21</v>
      </c>
      <c r="E1116" s="178">
        <v>-1079254.21</v>
      </c>
      <c r="F1116">
        <v>0</v>
      </c>
      <c r="G1116" t="s">
        <v>497</v>
      </c>
    </row>
    <row r="1117" spans="1:9">
      <c r="A1117" s="178">
        <v>440</v>
      </c>
      <c r="B1117" s="178" t="s">
        <v>280</v>
      </c>
      <c r="C1117" s="178">
        <v>0</v>
      </c>
      <c r="D1117" s="178">
        <v>20992245.79</v>
      </c>
      <c r="E1117" s="178">
        <v>20992245.79</v>
      </c>
      <c r="F1117">
        <v>0</v>
      </c>
      <c r="G1117" t="s">
        <v>497</v>
      </c>
    </row>
    <row r="1118" spans="1:9">
      <c r="A1118" s="178">
        <v>450</v>
      </c>
      <c r="B1118" s="178" t="s">
        <v>281</v>
      </c>
      <c r="C1118" s="178">
        <v>0</v>
      </c>
      <c r="D1118" s="178">
        <v>0</v>
      </c>
      <c r="E1118" s="178">
        <v>0</v>
      </c>
      <c r="F1118">
        <v>0</v>
      </c>
      <c r="G1118" t="s">
        <v>497</v>
      </c>
    </row>
    <row r="1119" spans="1:9">
      <c r="A1119" s="178">
        <v>455</v>
      </c>
      <c r="B1119" s="178" t="s">
        <v>282</v>
      </c>
      <c r="C1119" s="178">
        <v>-6500000</v>
      </c>
      <c r="D1119" s="178">
        <v>-2003350.32</v>
      </c>
      <c r="E1119" s="178">
        <v>-8503350.32</v>
      </c>
      <c r="F1119">
        <v>-6500000</v>
      </c>
      <c r="G1119" t="s">
        <v>497</v>
      </c>
    </row>
    <row r="1120" spans="1:9">
      <c r="A1120" s="178">
        <v>456</v>
      </c>
      <c r="B1120" s="178" t="s">
        <v>637</v>
      </c>
      <c r="C1120" s="178">
        <v>0</v>
      </c>
      <c r="D1120" s="178">
        <v>929555.03</v>
      </c>
      <c r="E1120" s="178">
        <v>929555.03</v>
      </c>
      <c r="F1120">
        <v>0</v>
      </c>
      <c r="G1120" t="s">
        <v>497</v>
      </c>
    </row>
    <row r="1121" spans="1:9">
      <c r="A1121" s="178">
        <v>460</v>
      </c>
      <c r="B1121" s="178" t="s">
        <v>283</v>
      </c>
      <c r="C1121" s="178">
        <v>-14012076.31</v>
      </c>
      <c r="D1121" s="178">
        <v>-3610911.26</v>
      </c>
      <c r="E1121" s="178">
        <v>-17622987.57</v>
      </c>
      <c r="F1121">
        <v>-14012076.31</v>
      </c>
      <c r="G1121" t="s">
        <v>497</v>
      </c>
    </row>
    <row r="1122" spans="1:9">
      <c r="A1122" s="178">
        <v>470</v>
      </c>
      <c r="B1122" s="178" t="s">
        <v>638</v>
      </c>
      <c r="C1122" s="178">
        <v>15095.78</v>
      </c>
      <c r="D1122" s="178">
        <v>2705515.67</v>
      </c>
      <c r="E1122" s="178">
        <v>2720611.45</v>
      </c>
      <c r="F1122">
        <v>15095.78</v>
      </c>
      <c r="G1122" t="s">
        <v>497</v>
      </c>
    </row>
    <row r="1123" spans="1:9">
      <c r="A1123" s="178">
        <v>480</v>
      </c>
      <c r="B1123" s="178" t="s">
        <v>284</v>
      </c>
      <c r="C1123" s="178">
        <v>137201.72</v>
      </c>
      <c r="D1123" s="178">
        <v>-26865752.25</v>
      </c>
      <c r="E1123" s="178">
        <v>-26728550.53</v>
      </c>
      <c r="F1123">
        <v>137201.72</v>
      </c>
      <c r="G1123" t="s">
        <v>497</v>
      </c>
    </row>
    <row r="1124" spans="1:9">
      <c r="A1124" s="178">
        <v>490</v>
      </c>
      <c r="B1124" s="178" t="s">
        <v>639</v>
      </c>
      <c r="C1124" s="178">
        <v>133061.61</v>
      </c>
      <c r="D1124" s="178">
        <v>23643990.27</v>
      </c>
      <c r="E1124" s="178">
        <v>23777051.88</v>
      </c>
      <c r="F1124">
        <v>133061.61</v>
      </c>
      <c r="G1124" t="s">
        <v>497</v>
      </c>
    </row>
    <row r="1125" spans="1:9">
      <c r="A1125" s="178">
        <v>500</v>
      </c>
      <c r="B1125" s="178" t="s">
        <v>285</v>
      </c>
      <c r="C1125" s="178">
        <v>-6920000</v>
      </c>
      <c r="D1125" s="178">
        <v>-76238.25</v>
      </c>
      <c r="E1125" s="178">
        <v>-6996238.25</v>
      </c>
      <c r="F1125">
        <v>-6920000</v>
      </c>
      <c r="G1125" t="s">
        <v>497</v>
      </c>
    </row>
    <row r="1126" spans="1:9">
      <c r="A1126" s="178">
        <v>510</v>
      </c>
      <c r="B1126" s="178" t="s">
        <v>640</v>
      </c>
      <c r="C1126" s="178">
        <v>952.98</v>
      </c>
      <c r="D1126" s="178">
        <v>41481.74</v>
      </c>
      <c r="E1126" s="178">
        <v>42434.72</v>
      </c>
      <c r="F1126">
        <v>952.98</v>
      </c>
      <c r="G1126" t="s">
        <v>497</v>
      </c>
    </row>
    <row r="1127" spans="1:9">
      <c r="A1127" s="178">
        <v>512</v>
      </c>
      <c r="B1127" s="178" t="s">
        <v>286</v>
      </c>
      <c r="C1127" s="178">
        <v>-1480000</v>
      </c>
      <c r="D1127" s="178">
        <v>-187628.58</v>
      </c>
      <c r="E1127" s="178">
        <v>-1667628.58</v>
      </c>
      <c r="F1127">
        <v>-1480000</v>
      </c>
      <c r="G1127" t="s">
        <v>497</v>
      </c>
    </row>
    <row r="1128" spans="1:9">
      <c r="A1128" s="178">
        <v>514</v>
      </c>
      <c r="B1128" s="178" t="s">
        <v>641</v>
      </c>
      <c r="C1128" s="178">
        <v>1563.57</v>
      </c>
      <c r="D1128" s="178">
        <v>47602.77</v>
      </c>
      <c r="E1128" s="178">
        <v>49166.34</v>
      </c>
      <c r="F1128">
        <v>1563.57</v>
      </c>
      <c r="G1128" t="s">
        <v>497</v>
      </c>
    </row>
    <row r="1129" spans="1:9">
      <c r="A1129" s="178">
        <v>520</v>
      </c>
      <c r="B1129" s="178" t="s">
        <v>642</v>
      </c>
      <c r="C1129" s="178">
        <v>0</v>
      </c>
      <c r="D1129" s="178">
        <v>0</v>
      </c>
      <c r="E1129" s="178">
        <v>0</v>
      </c>
      <c r="F1129">
        <v>0</v>
      </c>
      <c r="G1129" t="s">
        <v>497</v>
      </c>
    </row>
    <row r="1130" spans="1:9">
      <c r="A1130" s="178">
        <v>530</v>
      </c>
      <c r="B1130" s="178" t="s">
        <v>643</v>
      </c>
      <c r="C1130" s="178">
        <v>0</v>
      </c>
      <c r="D1130" s="178">
        <v>0</v>
      </c>
      <c r="E1130" s="178">
        <v>0</v>
      </c>
      <c r="F1130">
        <v>0</v>
      </c>
      <c r="G1130" t="s">
        <v>497</v>
      </c>
    </row>
    <row r="1131" spans="1:9">
      <c r="A1131" s="178">
        <v>540</v>
      </c>
      <c r="B1131" s="178" t="s">
        <v>644</v>
      </c>
      <c r="C1131" s="178">
        <v>0</v>
      </c>
      <c r="D1131" s="178">
        <v>0</v>
      </c>
      <c r="E1131" s="178">
        <v>0</v>
      </c>
      <c r="F1131">
        <v>0</v>
      </c>
      <c r="G1131" t="s">
        <v>497</v>
      </c>
    </row>
    <row r="1132" spans="1:9">
      <c r="A1132" s="178">
        <v>550</v>
      </c>
      <c r="B1132" s="178" t="s">
        <v>645</v>
      </c>
      <c r="C1132" s="178">
        <v>0</v>
      </c>
      <c r="D1132" s="178">
        <v>0</v>
      </c>
      <c r="E1132" s="178">
        <v>0</v>
      </c>
      <c r="F1132">
        <v>0</v>
      </c>
      <c r="G1132" t="s">
        <v>497</v>
      </c>
    </row>
    <row r="1133" spans="1:9">
      <c r="A1133" s="178">
        <v>560</v>
      </c>
      <c r="B1133" s="178" t="s">
        <v>646</v>
      </c>
      <c r="C1133" s="178">
        <v>0</v>
      </c>
      <c r="D1133" s="178">
        <v>0</v>
      </c>
      <c r="E1133" s="178">
        <v>0</v>
      </c>
      <c r="F1133">
        <v>0</v>
      </c>
      <c r="G1133" t="s">
        <v>497</v>
      </c>
    </row>
    <row r="1134" spans="1:9">
      <c r="A1134" s="178">
        <v>570</v>
      </c>
      <c r="B1134" s="178" t="s">
        <v>647</v>
      </c>
      <c r="C1134" s="178">
        <v>0</v>
      </c>
      <c r="D1134" s="178">
        <v>0</v>
      </c>
      <c r="E1134" s="178">
        <v>0</v>
      </c>
      <c r="F1134">
        <v>0</v>
      </c>
      <c r="G1134" t="s">
        <v>497</v>
      </c>
    </row>
    <row r="1135" spans="1:9">
      <c r="A1135" s="178">
        <v>580</v>
      </c>
      <c r="B1135" s="178" t="s">
        <v>290</v>
      </c>
      <c r="C1135" s="178">
        <v>0</v>
      </c>
      <c r="D1135" s="178">
        <v>0</v>
      </c>
      <c r="E1135" s="178">
        <v>0</v>
      </c>
      <c r="F1135">
        <v>0</v>
      </c>
      <c r="G1135" t="s">
        <v>497</v>
      </c>
    </row>
    <row r="1136" spans="1:9">
      <c r="A1136" s="178">
        <v>590</v>
      </c>
      <c r="B1136" s="178" t="s">
        <v>648</v>
      </c>
      <c r="C1136" s="178">
        <v>0</v>
      </c>
      <c r="D1136" s="178">
        <v>0</v>
      </c>
      <c r="E1136" s="178">
        <v>0</v>
      </c>
      <c r="F1136">
        <v>0</v>
      </c>
      <c r="G1136" t="s">
        <v>497</v>
      </c>
    </row>
    <row r="1137" spans="1:9">
      <c r="A1137" s="178">
        <v>600</v>
      </c>
      <c r="B1137" s="178" t="s">
        <v>291</v>
      </c>
      <c r="C1137" s="178">
        <v>0</v>
      </c>
      <c r="D1137" s="178">
        <v>0</v>
      </c>
      <c r="E1137" s="178">
        <v>0</v>
      </c>
      <c r="F1137">
        <v>0</v>
      </c>
      <c r="G1137" t="s">
        <v>497</v>
      </c>
    </row>
    <row r="1138" spans="1:9">
      <c r="A1138" s="178">
        <v>610</v>
      </c>
      <c r="B1138" s="178" t="s">
        <v>649</v>
      </c>
      <c r="C1138" s="178">
        <v>0</v>
      </c>
      <c r="D1138" s="178">
        <v>0</v>
      </c>
      <c r="E1138" s="178">
        <v>0</v>
      </c>
      <c r="F1138">
        <v>0</v>
      </c>
      <c r="G1138" t="s">
        <v>497</v>
      </c>
    </row>
    <row r="1139" spans="1:9">
      <c r="A1139" s="178">
        <v>615</v>
      </c>
      <c r="B1139" s="178" t="s">
        <v>674</v>
      </c>
      <c r="C1139" s="178">
        <v>0</v>
      </c>
      <c r="D1139" s="178">
        <v>0</v>
      </c>
      <c r="E1139" s="178">
        <v>0</v>
      </c>
      <c r="F1139">
        <v>0</v>
      </c>
      <c r="G1139" t="s">
        <v>497</v>
      </c>
    </row>
    <row r="1140" spans="1:9">
      <c r="A1140" s="178">
        <v>620</v>
      </c>
      <c r="B1140" s="178" t="s">
        <v>292</v>
      </c>
      <c r="C1140" s="178">
        <v>0</v>
      </c>
      <c r="D1140" s="178">
        <v>0</v>
      </c>
      <c r="E1140" s="178">
        <v>0</v>
      </c>
      <c r="F1140">
        <v>0</v>
      </c>
      <c r="G1140" t="s">
        <v>497</v>
      </c>
    </row>
    <row r="1141" spans="1:9">
      <c r="A1141" s="178">
        <v>630</v>
      </c>
      <c r="B1141" s="178" t="s">
        <v>293</v>
      </c>
      <c r="C1141" s="178">
        <v>-83614811</v>
      </c>
      <c r="D1141" s="178">
        <v>0</v>
      </c>
      <c r="E1141" s="178">
        <v>-83614811</v>
      </c>
      <c r="F1141">
        <v>-83614811</v>
      </c>
      <c r="G1141" t="s">
        <v>497</v>
      </c>
    </row>
    <row r="1142" spans="1:9">
      <c r="A1142" s="178">
        <v>635</v>
      </c>
      <c r="B1142" s="178" t="s">
        <v>675</v>
      </c>
      <c r="C1142" s="178">
        <v>0</v>
      </c>
      <c r="D1142" s="178">
        <v>0</v>
      </c>
      <c r="E1142" s="178">
        <v>0</v>
      </c>
      <c r="F1142">
        <v>0</v>
      </c>
      <c r="G1142" t="s">
        <v>497</v>
      </c>
    </row>
    <row r="1143" spans="1:9">
      <c r="A1143" s="178">
        <v>640</v>
      </c>
      <c r="B1143" s="178" t="s">
        <v>294</v>
      </c>
      <c r="C1143" s="178">
        <v>-112239011.65</v>
      </c>
      <c r="D1143" s="178">
        <v>-5375735.18</v>
      </c>
      <c r="E1143" s="178">
        <v>-117614746.83</v>
      </c>
      <c r="F1143">
        <v>-112239011.65</v>
      </c>
      <c r="G1143" t="s">
        <v>497</v>
      </c>
    </row>
    <row r="1144" spans="1:9">
      <c r="A1144" s="178">
        <v>650</v>
      </c>
      <c r="B1144" s="178" t="s">
        <v>295</v>
      </c>
      <c r="C1144" s="178">
        <v>174477.11</v>
      </c>
      <c r="D1144" s="178">
        <v>1467290.19</v>
      </c>
      <c r="E1144" s="178">
        <v>1641767.3</v>
      </c>
      <c r="F1144">
        <v>174477.11</v>
      </c>
      <c r="G1144" t="s">
        <v>497</v>
      </c>
    </row>
    <row r="1145" spans="1:9">
      <c r="A1145" s="178" t="s">
        <v>453</v>
      </c>
      <c r="B1145" s="178" t="s">
        <v>402</v>
      </c>
      <c r="C1145" s="178" t="s">
        <v>609</v>
      </c>
      <c r="D1145" s="178" t="s">
        <v>610</v>
      </c>
      <c r="E1145" s="178" t="s">
        <v>611</v>
      </c>
      <c r="F1145" t="s">
        <v>612</v>
      </c>
      <c r="G1145" t="s">
        <v>405</v>
      </c>
    </row>
    <row r="1146" spans="1:9">
      <c r="A1146" s="178">
        <v>10</v>
      </c>
      <c r="B1146" s="178" t="s">
        <v>613</v>
      </c>
      <c r="C1146" s="178">
        <v>0</v>
      </c>
      <c r="D1146" s="178">
        <v>0</v>
      </c>
      <c r="E1146" s="178">
        <v>0</v>
      </c>
      <c r="F1146">
        <v>0</v>
      </c>
      <c r="G1146" t="s">
        <v>497</v>
      </c>
    </row>
    <row r="1147" spans="1:9">
      <c r="A1147" s="178">
        <v>20</v>
      </c>
      <c r="B1147" s="178" t="s">
        <v>406</v>
      </c>
      <c r="C1147" s="178">
        <v>1146136.36</v>
      </c>
      <c r="D1147" s="178">
        <v>0</v>
      </c>
      <c r="E1147" s="178">
        <v>1146136.36</v>
      </c>
      <c r="F1147">
        <v>1146136.36</v>
      </c>
      <c r="G1147" t="s">
        <v>497</v>
      </c>
    </row>
    <row r="1148" spans="1:9">
      <c r="A1148" s="178">
        <v>30</v>
      </c>
      <c r="B1148" s="178" t="s">
        <v>614</v>
      </c>
      <c r="C1148" s="178">
        <v>0</v>
      </c>
      <c r="D1148" s="178">
        <v>0</v>
      </c>
      <c r="E1148" s="178">
        <v>0</v>
      </c>
      <c r="F1148">
        <v>0</v>
      </c>
      <c r="G1148" t="s">
        <v>497</v>
      </c>
    </row>
    <row r="1149" spans="1:9">
      <c r="A1149" s="178">
        <v>35</v>
      </c>
      <c r="B1149" s="178" t="s">
        <v>615</v>
      </c>
      <c r="C1149" s="178">
        <v>1146136.36</v>
      </c>
      <c r="D1149" s="178">
        <v>0</v>
      </c>
      <c r="E1149" s="178">
        <v>1146136.36</v>
      </c>
      <c r="F1149">
        <v>1146136.36</v>
      </c>
      <c r="G1149" t="s">
        <v>497</v>
      </c>
    </row>
    <row r="1150" spans="1:9">
      <c r="A1150" s="178">
        <v>40</v>
      </c>
      <c r="B1150" s="178" t="s">
        <v>616</v>
      </c>
      <c r="C1150" s="178">
        <v>875762.67</v>
      </c>
      <c r="D1150" s="178">
        <v>0</v>
      </c>
      <c r="E1150" s="178">
        <v>875762.67</v>
      </c>
      <c r="F1150">
        <v>875762.67</v>
      </c>
      <c r="G1150" t="s">
        <v>497</v>
      </c>
    </row>
    <row r="1151" spans="1:9">
      <c r="A1151" s="178">
        <v>50</v>
      </c>
      <c r="B1151" s="178" t="s">
        <v>617</v>
      </c>
      <c r="C1151" s="178">
        <v>0</v>
      </c>
      <c r="D1151" s="178">
        <v>0</v>
      </c>
      <c r="E1151" s="178">
        <v>0</v>
      </c>
      <c r="F1151">
        <v>0</v>
      </c>
      <c r="G1151" t="s">
        <v>497</v>
      </c>
    </row>
    <row r="1152" spans="1:9">
      <c r="A1152" s="178">
        <v>60</v>
      </c>
      <c r="B1152" s="178" t="s">
        <v>618</v>
      </c>
      <c r="C1152" s="178">
        <v>270373.69</v>
      </c>
      <c r="D1152" s="178">
        <v>0</v>
      </c>
      <c r="E1152" s="178">
        <v>270373.69</v>
      </c>
      <c r="F1152">
        <v>270373.69</v>
      </c>
      <c r="G1152" t="s">
        <v>497</v>
      </c>
    </row>
    <row r="1153" spans="1:9">
      <c r="A1153" s="178">
        <v>70</v>
      </c>
      <c r="B1153" s="178" t="s">
        <v>412</v>
      </c>
      <c r="C1153" s="178">
        <v>0</v>
      </c>
      <c r="D1153" s="178">
        <v>0</v>
      </c>
      <c r="E1153" s="178">
        <v>0</v>
      </c>
      <c r="F1153">
        <v>0</v>
      </c>
      <c r="G1153" t="s">
        <v>497</v>
      </c>
    </row>
    <row r="1154" spans="1:9">
      <c r="A1154" s="178">
        <v>80</v>
      </c>
      <c r="B1154" s="178" t="s">
        <v>413</v>
      </c>
      <c r="C1154" s="178">
        <v>110568.99</v>
      </c>
      <c r="D1154" s="178">
        <v>0</v>
      </c>
      <c r="E1154" s="178">
        <v>110568.99</v>
      </c>
      <c r="F1154">
        <v>110568.99</v>
      </c>
      <c r="G1154" t="s">
        <v>497</v>
      </c>
    </row>
    <row r="1155" spans="1:9">
      <c r="A1155" s="178">
        <v>90</v>
      </c>
      <c r="B1155" s="178" t="s">
        <v>681</v>
      </c>
      <c r="C1155" s="178">
        <v>25049.74</v>
      </c>
      <c r="D1155" s="178">
        <v>0</v>
      </c>
      <c r="E1155" s="178">
        <v>25049.74</v>
      </c>
      <c r="F1155">
        <v>25049.74</v>
      </c>
      <c r="G1155" t="s">
        <v>497</v>
      </c>
    </row>
    <row r="1156" spans="1:9">
      <c r="A1156" s="178">
        <v>100</v>
      </c>
      <c r="B1156" s="178" t="s">
        <v>620</v>
      </c>
      <c r="C1156" s="178">
        <v>134754.96</v>
      </c>
      <c r="D1156" s="178">
        <v>0</v>
      </c>
      <c r="E1156" s="178">
        <v>134754.96</v>
      </c>
      <c r="F1156">
        <v>134754.96</v>
      </c>
      <c r="G1156" t="s">
        <v>497</v>
      </c>
    </row>
    <row r="1157" spans="1:9">
      <c r="A1157" s="178">
        <v>110</v>
      </c>
      <c r="B1157" s="178" t="s">
        <v>621</v>
      </c>
      <c r="C1157" s="178">
        <v>0</v>
      </c>
      <c r="D1157" s="178">
        <v>0</v>
      </c>
      <c r="E1157" s="178">
        <v>0</v>
      </c>
      <c r="F1157">
        <v>0</v>
      </c>
      <c r="G1157" t="s">
        <v>497</v>
      </c>
    </row>
    <row r="1158" spans="1:9">
      <c r="A1158" s="178">
        <v>120</v>
      </c>
      <c r="B1158" s="178" t="s">
        <v>622</v>
      </c>
      <c r="C1158" s="178">
        <v>-8275.59</v>
      </c>
      <c r="D1158" s="178">
        <v>0</v>
      </c>
      <c r="E1158" s="178">
        <v>-8275.59</v>
      </c>
      <c r="F1158">
        <v>-8275.59</v>
      </c>
      <c r="G1158" t="s">
        <v>497</v>
      </c>
    </row>
    <row r="1159" spans="1:9">
      <c r="A1159" s="178">
        <v>130</v>
      </c>
      <c r="B1159" s="178" t="s">
        <v>623</v>
      </c>
      <c r="C1159" s="178">
        <v>1409.12</v>
      </c>
      <c r="D1159" s="178">
        <v>0</v>
      </c>
      <c r="E1159" s="178">
        <v>1409.12</v>
      </c>
      <c r="F1159">
        <v>1409.12</v>
      </c>
      <c r="G1159" t="s">
        <v>497</v>
      </c>
    </row>
    <row r="1160" spans="1:9">
      <c r="A1160" s="178">
        <v>140</v>
      </c>
      <c r="B1160" s="178" t="s">
        <v>624</v>
      </c>
      <c r="C1160" s="178">
        <v>0</v>
      </c>
      <c r="D1160" s="178">
        <v>0</v>
      </c>
      <c r="E1160" s="178">
        <v>0</v>
      </c>
      <c r="F1160">
        <v>0</v>
      </c>
      <c r="G1160" t="s">
        <v>497</v>
      </c>
    </row>
    <row r="1161" spans="1:9">
      <c r="A1161" s="178">
        <v>145</v>
      </c>
      <c r="B1161" s="178" t="s">
        <v>422</v>
      </c>
      <c r="C1161" s="178">
        <v>-6866.47</v>
      </c>
      <c r="D1161" s="178">
        <v>0</v>
      </c>
      <c r="E1161" s="178">
        <v>-6866.47</v>
      </c>
      <c r="F1161">
        <v>-6866.47</v>
      </c>
      <c r="G1161" t="s">
        <v>497</v>
      </c>
    </row>
    <row r="1162" spans="1:9">
      <c r="A1162" s="178">
        <v>150</v>
      </c>
      <c r="B1162" s="178" t="s">
        <v>625</v>
      </c>
      <c r="C1162" s="178">
        <v>141621.43</v>
      </c>
      <c r="D1162" s="178">
        <v>0</v>
      </c>
      <c r="E1162" s="178">
        <v>141621.43</v>
      </c>
      <c r="F1162">
        <v>141621.43</v>
      </c>
      <c r="G1162" t="s">
        <v>497</v>
      </c>
    </row>
    <row r="1163" spans="1:9">
      <c r="A1163" s="178">
        <v>160</v>
      </c>
      <c r="B1163" s="178" t="s">
        <v>626</v>
      </c>
      <c r="C1163" s="178">
        <v>41559</v>
      </c>
      <c r="D1163" s="178">
        <v>0</v>
      </c>
      <c r="E1163" s="178">
        <v>41559</v>
      </c>
      <c r="F1163">
        <v>41559</v>
      </c>
      <c r="G1163" t="s">
        <v>497</v>
      </c>
    </row>
    <row r="1164" spans="1:9">
      <c r="A1164" s="178">
        <v>170</v>
      </c>
      <c r="B1164" s="178" t="s">
        <v>426</v>
      </c>
      <c r="C1164" s="178">
        <v>100062.43</v>
      </c>
      <c r="D1164" s="178">
        <v>0</v>
      </c>
      <c r="E1164" s="178">
        <v>100062.43</v>
      </c>
      <c r="F1164">
        <v>100062.43</v>
      </c>
      <c r="G1164" t="s">
        <v>497</v>
      </c>
    </row>
    <row r="1165" spans="1:9">
      <c r="A1165" s="178">
        <v>190</v>
      </c>
      <c r="B1165" s="178" t="s">
        <v>627</v>
      </c>
      <c r="C1165" s="178">
        <v>0</v>
      </c>
      <c r="D1165" s="178">
        <v>0</v>
      </c>
      <c r="E1165" s="178">
        <v>0</v>
      </c>
      <c r="F1165">
        <v>0</v>
      </c>
      <c r="G1165" t="s">
        <v>497</v>
      </c>
    </row>
    <row r="1166" spans="1:9">
      <c r="A1166" s="178">
        <v>200</v>
      </c>
      <c r="B1166" s="178" t="s">
        <v>426</v>
      </c>
      <c r="C1166" s="178">
        <v>100062.43</v>
      </c>
      <c r="D1166" s="178">
        <v>0</v>
      </c>
      <c r="E1166" s="178">
        <v>100062.43</v>
      </c>
      <c r="F1166">
        <v>100062.43</v>
      </c>
      <c r="G1166" t="s">
        <v>497</v>
      </c>
    </row>
    <row r="1167" spans="1:9">
      <c r="A1167" s="178">
        <v>210</v>
      </c>
      <c r="B1167" s="178" t="s">
        <v>264</v>
      </c>
      <c r="C1167" s="178">
        <v>100062.43</v>
      </c>
      <c r="D1167" s="178">
        <v>0</v>
      </c>
      <c r="E1167" s="178">
        <v>100062.43</v>
      </c>
      <c r="F1167">
        <v>100062.43</v>
      </c>
      <c r="G1167" t="s">
        <v>497</v>
      </c>
    </row>
    <row r="1168" spans="1:9">
      <c r="A1168" s="178">
        <v>220</v>
      </c>
      <c r="B1168" s="178" t="s">
        <v>682</v>
      </c>
      <c r="C1168" s="178">
        <v>0</v>
      </c>
      <c r="D1168" s="178">
        <v>0</v>
      </c>
      <c r="E1168" s="178">
        <v>0</v>
      </c>
      <c r="F1168">
        <v>0</v>
      </c>
      <c r="G1168" t="s">
        <v>497</v>
      </c>
    </row>
    <row r="1169" spans="1:9">
      <c r="A1169" s="178">
        <v>230</v>
      </c>
      <c r="B1169" s="178" t="s">
        <v>266</v>
      </c>
      <c r="C1169" s="178">
        <v>1694507.51</v>
      </c>
      <c r="D1169" s="178">
        <v>-5833953.27</v>
      </c>
      <c r="E1169" s="178">
        <v>-4139445.76</v>
      </c>
      <c r="F1169">
        <v>1694507.51</v>
      </c>
      <c r="G1169" t="s">
        <v>497</v>
      </c>
    </row>
    <row r="1170" spans="1:9">
      <c r="A1170" s="178">
        <v>240</v>
      </c>
      <c r="B1170" s="178" t="s">
        <v>267</v>
      </c>
      <c r="C1170" s="178">
        <v>-313699.08</v>
      </c>
      <c r="D1170" s="178">
        <v>-14015353.51</v>
      </c>
      <c r="E1170" s="178">
        <v>-14329052.59</v>
      </c>
      <c r="F1170">
        <v>-313699.08</v>
      </c>
      <c r="G1170" t="s">
        <v>497</v>
      </c>
    </row>
    <row r="1171" spans="1:9">
      <c r="A1171" s="178">
        <v>250</v>
      </c>
      <c r="B1171" s="178" t="s">
        <v>268</v>
      </c>
      <c r="C1171" s="178">
        <v>0</v>
      </c>
      <c r="D1171" s="178">
        <v>0</v>
      </c>
      <c r="E1171" s="178">
        <v>0</v>
      </c>
      <c r="F1171">
        <v>0</v>
      </c>
      <c r="G1171" t="s">
        <v>497</v>
      </c>
    </row>
    <row r="1172" spans="1:9">
      <c r="A1172" s="178">
        <v>260</v>
      </c>
      <c r="B1172" s="178" t="s">
        <v>630</v>
      </c>
      <c r="C1172" s="178">
        <v>-98156</v>
      </c>
      <c r="D1172" s="178">
        <v>-639078.63</v>
      </c>
      <c r="E1172" s="178">
        <v>-737234.63</v>
      </c>
      <c r="F1172">
        <v>-98156</v>
      </c>
      <c r="G1172" t="s">
        <v>497</v>
      </c>
    </row>
    <row r="1173" spans="1:9">
      <c r="A1173" s="178">
        <v>270</v>
      </c>
      <c r="B1173" s="178" t="s">
        <v>269</v>
      </c>
      <c r="C1173" s="178">
        <v>44007.36</v>
      </c>
      <c r="D1173" s="178">
        <v>362727.62</v>
      </c>
      <c r="E1173" s="178">
        <v>406734.98</v>
      </c>
      <c r="F1173">
        <v>44007.36</v>
      </c>
      <c r="G1173" t="s">
        <v>497</v>
      </c>
    </row>
    <row r="1174" spans="1:9">
      <c r="A1174" s="178">
        <v>280</v>
      </c>
      <c r="B1174" s="178" t="s">
        <v>318</v>
      </c>
      <c r="C1174" s="178">
        <v>0</v>
      </c>
      <c r="D1174" s="178">
        <v>0</v>
      </c>
      <c r="E1174" s="178">
        <v>0</v>
      </c>
      <c r="F1174">
        <v>0</v>
      </c>
      <c r="G1174" t="s">
        <v>497</v>
      </c>
    </row>
    <row r="1175" spans="1:9">
      <c r="A1175" s="178">
        <v>290</v>
      </c>
      <c r="B1175" s="178" t="s">
        <v>319</v>
      </c>
      <c r="C1175" s="178">
        <v>0</v>
      </c>
      <c r="D1175" s="178">
        <v>0</v>
      </c>
      <c r="E1175" s="178">
        <v>0</v>
      </c>
      <c r="F1175">
        <v>0</v>
      </c>
      <c r="G1175" t="s">
        <v>497</v>
      </c>
    </row>
    <row r="1176" spans="1:9">
      <c r="A1176" s="178">
        <v>300</v>
      </c>
      <c r="B1176" s="178" t="s">
        <v>270</v>
      </c>
      <c r="C1176" s="178">
        <v>-1457000</v>
      </c>
      <c r="D1176" s="178">
        <v>2857000</v>
      </c>
      <c r="E1176" s="178">
        <v>1400000</v>
      </c>
      <c r="F1176">
        <v>-1457000</v>
      </c>
      <c r="G1176" t="s">
        <v>497</v>
      </c>
    </row>
    <row r="1177" spans="1:9">
      <c r="A1177" s="178">
        <v>310</v>
      </c>
      <c r="B1177" s="178" t="s">
        <v>631</v>
      </c>
      <c r="C1177" s="178">
        <v>0</v>
      </c>
      <c r="D1177" s="178">
        <v>0</v>
      </c>
      <c r="E1177" s="178">
        <v>0</v>
      </c>
      <c r="F1177">
        <v>0</v>
      </c>
      <c r="G1177" t="s">
        <v>497</v>
      </c>
    </row>
    <row r="1178" spans="1:9">
      <c r="A1178" s="178">
        <v>320</v>
      </c>
      <c r="B1178" s="178" t="s">
        <v>271</v>
      </c>
      <c r="C1178" s="178">
        <v>-2900</v>
      </c>
      <c r="D1178" s="178">
        <v>2938351.17</v>
      </c>
      <c r="E1178" s="178">
        <v>2935451.17</v>
      </c>
      <c r="F1178">
        <v>-2900</v>
      </c>
      <c r="G1178" t="s">
        <v>497</v>
      </c>
    </row>
    <row r="1179" spans="1:9">
      <c r="A1179" s="178">
        <v>330</v>
      </c>
      <c r="B1179" s="178" t="s">
        <v>632</v>
      </c>
      <c r="C1179" s="178">
        <v>-225861.76</v>
      </c>
      <c r="D1179" s="178">
        <v>892703.61</v>
      </c>
      <c r="E1179" s="178">
        <v>666841.85</v>
      </c>
      <c r="F1179">
        <v>-225861.76</v>
      </c>
      <c r="G1179" t="s">
        <v>497</v>
      </c>
    </row>
    <row r="1180" spans="1:9">
      <c r="A1180" s="178">
        <v>340</v>
      </c>
      <c r="B1180" s="178" t="s">
        <v>633</v>
      </c>
      <c r="C1180" s="178">
        <v>-162817.16</v>
      </c>
      <c r="D1180" s="178">
        <v>301646.76</v>
      </c>
      <c r="E1180" s="178">
        <v>138829.6</v>
      </c>
      <c r="F1180">
        <v>-162817.16</v>
      </c>
      <c r="G1180" t="s">
        <v>497</v>
      </c>
    </row>
    <row r="1181" spans="1:9">
      <c r="A1181" s="178">
        <v>350</v>
      </c>
      <c r="B1181" s="178" t="s">
        <v>320</v>
      </c>
      <c r="C1181" s="178">
        <v>0</v>
      </c>
      <c r="D1181" s="178">
        <v>0</v>
      </c>
      <c r="E1181" s="178">
        <v>0</v>
      </c>
      <c r="F1181">
        <v>0</v>
      </c>
      <c r="G1181" t="s">
        <v>497</v>
      </c>
    </row>
    <row r="1182" spans="1:9">
      <c r="A1182" s="178">
        <v>360</v>
      </c>
      <c r="B1182" s="178" t="s">
        <v>683</v>
      </c>
      <c r="C1182" s="178">
        <v>0</v>
      </c>
      <c r="D1182" s="178">
        <v>0</v>
      </c>
      <c r="E1182" s="178">
        <v>0</v>
      </c>
      <c r="F1182">
        <v>0</v>
      </c>
      <c r="G1182" t="s">
        <v>497</v>
      </c>
    </row>
    <row r="1183" spans="1:9">
      <c r="A1183" s="178">
        <v>370</v>
      </c>
      <c r="B1183" s="178" t="s">
        <v>684</v>
      </c>
      <c r="C1183" s="178">
        <v>0</v>
      </c>
      <c r="D1183" s="178">
        <v>0</v>
      </c>
      <c r="E1183" s="178">
        <v>0</v>
      </c>
      <c r="F1183">
        <v>0</v>
      </c>
      <c r="G1183" t="s">
        <v>497</v>
      </c>
    </row>
    <row r="1184" spans="1:9">
      <c r="A1184" s="178">
        <v>380</v>
      </c>
      <c r="B1184" s="178" t="s">
        <v>634</v>
      </c>
      <c r="C1184" s="178">
        <v>-521919.13</v>
      </c>
      <c r="D1184" s="178">
        <v>-13135956.25</v>
      </c>
      <c r="E1184" s="178">
        <v>-13657875.38</v>
      </c>
      <c r="F1184">
        <v>-521919.13</v>
      </c>
      <c r="G1184" t="s">
        <v>497</v>
      </c>
    </row>
    <row r="1185" spans="1:9">
      <c r="A1185" s="178">
        <v>390</v>
      </c>
      <c r="B1185" s="178" t="s">
        <v>273</v>
      </c>
      <c r="C1185" s="178">
        <v>0</v>
      </c>
      <c r="D1185" s="178">
        <v>0</v>
      </c>
      <c r="E1185" s="178">
        <v>0</v>
      </c>
      <c r="F1185">
        <v>0</v>
      </c>
      <c r="G1185" t="s">
        <v>497</v>
      </c>
    </row>
    <row r="1186" spans="1:9">
      <c r="A1186" s="178">
        <v>400</v>
      </c>
      <c r="B1186" s="178" t="s">
        <v>274</v>
      </c>
      <c r="C1186" s="178">
        <v>0</v>
      </c>
      <c r="D1186" s="178">
        <v>0</v>
      </c>
      <c r="E1186" s="178">
        <v>0</v>
      </c>
      <c r="F1186">
        <v>0</v>
      </c>
      <c r="G1186" t="s">
        <v>497</v>
      </c>
    </row>
    <row r="1187" spans="1:9">
      <c r="A1187" s="178">
        <v>410</v>
      </c>
      <c r="B1187" s="178" t="s">
        <v>276</v>
      </c>
      <c r="C1187" s="178">
        <v>0</v>
      </c>
      <c r="D1187" s="178">
        <v>8113280</v>
      </c>
      <c r="E1187" s="178">
        <v>8113280</v>
      </c>
      <c r="F1187">
        <v>0</v>
      </c>
      <c r="G1187" t="s">
        <v>497</v>
      </c>
    </row>
    <row r="1188" spans="1:9">
      <c r="A1188" s="178">
        <v>420</v>
      </c>
      <c r="B1188" s="178" t="s">
        <v>277</v>
      </c>
      <c r="C1188" s="178">
        <v>0</v>
      </c>
      <c r="D1188" s="178">
        <v>0</v>
      </c>
      <c r="E1188" s="178">
        <v>0</v>
      </c>
      <c r="F1188">
        <v>0</v>
      </c>
      <c r="G1188" t="s">
        <v>497</v>
      </c>
    </row>
    <row r="1189" spans="1:9">
      <c r="A1189" s="178">
        <v>430</v>
      </c>
      <c r="B1189" s="178" t="s">
        <v>635</v>
      </c>
      <c r="C1189" s="178">
        <v>0</v>
      </c>
      <c r="D1189" s="178">
        <v>4171.65</v>
      </c>
      <c r="E1189" s="178">
        <v>4171.65</v>
      </c>
      <c r="F1189">
        <v>0</v>
      </c>
      <c r="G1189" t="s">
        <v>497</v>
      </c>
    </row>
    <row r="1190" spans="1:9">
      <c r="A1190" s="178">
        <v>435</v>
      </c>
      <c r="B1190" s="178" t="s">
        <v>685</v>
      </c>
      <c r="C1190" s="178">
        <v>0</v>
      </c>
      <c r="D1190" s="178">
        <v>8351036.09</v>
      </c>
      <c r="E1190" s="178">
        <v>8351036.09</v>
      </c>
      <c r="F1190">
        <v>0</v>
      </c>
      <c r="G1190" t="s">
        <v>497</v>
      </c>
    </row>
    <row r="1191" spans="1:9">
      <c r="A1191" s="178">
        <v>440</v>
      </c>
      <c r="B1191" s="178" t="s">
        <v>280</v>
      </c>
      <c r="C1191" s="178">
        <v>0</v>
      </c>
      <c r="D1191" s="178">
        <v>16468487.74</v>
      </c>
      <c r="E1191" s="178">
        <v>16468487.74</v>
      </c>
      <c r="F1191">
        <v>0</v>
      </c>
      <c r="G1191" t="s">
        <v>497</v>
      </c>
    </row>
    <row r="1192" spans="1:9">
      <c r="A1192" s="178">
        <v>450</v>
      </c>
      <c r="B1192" s="178" t="s">
        <v>281</v>
      </c>
      <c r="C1192" s="178">
        <v>0</v>
      </c>
      <c r="D1192" s="178">
        <v>0</v>
      </c>
      <c r="E1192" s="178">
        <v>0</v>
      </c>
      <c r="F1192">
        <v>0</v>
      </c>
      <c r="G1192" t="s">
        <v>497</v>
      </c>
    </row>
    <row r="1193" spans="1:9">
      <c r="A1193" s="178">
        <v>452</v>
      </c>
      <c r="B1193" s="178" t="s">
        <v>322</v>
      </c>
      <c r="C1193" s="178">
        <v>0</v>
      </c>
      <c r="D1193" s="178">
        <v>5060455.89</v>
      </c>
      <c r="E1193" s="178">
        <v>5060455.89</v>
      </c>
      <c r="F1193">
        <v>0</v>
      </c>
      <c r="G1193" t="s">
        <v>497</v>
      </c>
    </row>
    <row r="1194" spans="1:9">
      <c r="A1194" s="178">
        <v>454</v>
      </c>
      <c r="B1194" s="178" t="s">
        <v>282</v>
      </c>
      <c r="C1194" s="178">
        <v>0</v>
      </c>
      <c r="D1194" s="178">
        <v>-5258513.11</v>
      </c>
      <c r="E1194" s="178">
        <v>-5258513.11</v>
      </c>
      <c r="F1194">
        <v>0</v>
      </c>
      <c r="G1194" t="s">
        <v>497</v>
      </c>
    </row>
    <row r="1195" spans="1:9">
      <c r="A1195" s="178">
        <v>456</v>
      </c>
      <c r="B1195" s="178" t="s">
        <v>637</v>
      </c>
      <c r="C1195" s="178">
        <v>10981.45</v>
      </c>
      <c r="D1195" s="178">
        <v>894218.15</v>
      </c>
      <c r="E1195" s="178">
        <v>905199.6</v>
      </c>
      <c r="F1195">
        <v>10981.45</v>
      </c>
      <c r="G1195" t="s">
        <v>497</v>
      </c>
    </row>
    <row r="1196" spans="1:9">
      <c r="A1196" s="178">
        <v>460</v>
      </c>
      <c r="B1196" s="178" t="s">
        <v>283</v>
      </c>
      <c r="C1196" s="178">
        <v>0</v>
      </c>
      <c r="D1196" s="178">
        <v>-2028790.71</v>
      </c>
      <c r="E1196" s="178">
        <v>-2028790.71</v>
      </c>
      <c r="F1196">
        <v>0</v>
      </c>
      <c r="G1196" t="s">
        <v>497</v>
      </c>
    </row>
    <row r="1197" spans="1:9">
      <c r="A1197" s="178">
        <v>462</v>
      </c>
      <c r="B1197" s="178" t="s">
        <v>286</v>
      </c>
      <c r="C1197" s="178">
        <v>0</v>
      </c>
      <c r="D1197" s="178">
        <v>-168333.56</v>
      </c>
      <c r="E1197" s="178">
        <v>-168333.56</v>
      </c>
      <c r="F1197">
        <v>0</v>
      </c>
      <c r="G1197" t="s">
        <v>497</v>
      </c>
    </row>
    <row r="1198" spans="1:9">
      <c r="A1198" s="178">
        <v>464</v>
      </c>
      <c r="B1198" s="178" t="s">
        <v>686</v>
      </c>
      <c r="C1198" s="178">
        <v>727.98</v>
      </c>
      <c r="D1198" s="178">
        <v>196066.38</v>
      </c>
      <c r="E1198" s="178">
        <v>196794.36</v>
      </c>
      <c r="F1198">
        <v>727.98</v>
      </c>
      <c r="G1198" t="s">
        <v>497</v>
      </c>
    </row>
    <row r="1199" spans="1:9">
      <c r="A1199" s="178">
        <v>470</v>
      </c>
      <c r="B1199" s="178" t="s">
        <v>638</v>
      </c>
      <c r="C1199" s="178">
        <v>8453.29</v>
      </c>
      <c r="D1199" s="178">
        <v>706424.07</v>
      </c>
      <c r="E1199" s="178">
        <v>714877.36</v>
      </c>
      <c r="F1199">
        <v>8453.29</v>
      </c>
      <c r="G1199" t="s">
        <v>497</v>
      </c>
    </row>
    <row r="1200" spans="1:9">
      <c r="A1200" s="178">
        <v>480</v>
      </c>
      <c r="B1200" s="178" t="s">
        <v>284</v>
      </c>
      <c r="C1200" s="178">
        <v>0</v>
      </c>
      <c r="D1200" s="178">
        <v>-1242454.6</v>
      </c>
      <c r="E1200" s="178">
        <v>-1242454.6</v>
      </c>
      <c r="F1200">
        <v>0</v>
      </c>
      <c r="G1200" t="s">
        <v>497</v>
      </c>
    </row>
    <row r="1201" spans="1:9">
      <c r="A1201" s="178">
        <v>490</v>
      </c>
      <c r="B1201" s="178" t="s">
        <v>639</v>
      </c>
      <c r="C1201" s="178">
        <v>4107.07</v>
      </c>
      <c r="D1201" s="178">
        <v>720502.88</v>
      </c>
      <c r="E1201" s="178">
        <v>724609.95</v>
      </c>
      <c r="F1201">
        <v>4107.07</v>
      </c>
      <c r="G1201" t="s">
        <v>497</v>
      </c>
    </row>
    <row r="1202" spans="1:9">
      <c r="A1202" s="178">
        <v>500</v>
      </c>
      <c r="B1202" s="178" t="s">
        <v>285</v>
      </c>
      <c r="C1202" s="178">
        <v>0</v>
      </c>
      <c r="D1202" s="178">
        <v>-232978.67</v>
      </c>
      <c r="E1202" s="178">
        <v>-232978.67</v>
      </c>
      <c r="F1202">
        <v>0</v>
      </c>
      <c r="G1202" t="s">
        <v>497</v>
      </c>
    </row>
    <row r="1203" spans="1:9">
      <c r="A1203" s="178">
        <v>510</v>
      </c>
      <c r="B1203" s="178" t="s">
        <v>640</v>
      </c>
      <c r="C1203" s="178">
        <v>779.95</v>
      </c>
      <c r="D1203" s="178">
        <v>212597.9</v>
      </c>
      <c r="E1203" s="178">
        <v>213377.85</v>
      </c>
      <c r="F1203">
        <v>779.95</v>
      </c>
      <c r="G1203" t="s">
        <v>497</v>
      </c>
    </row>
    <row r="1204" spans="1:9">
      <c r="A1204" s="178">
        <v>512</v>
      </c>
      <c r="B1204" s="178" t="s">
        <v>687</v>
      </c>
      <c r="C1204" s="178">
        <v>0</v>
      </c>
      <c r="D1204" s="178">
        <v>0</v>
      </c>
      <c r="E1204" s="178">
        <v>0</v>
      </c>
      <c r="F1204">
        <v>0</v>
      </c>
      <c r="G1204" t="s">
        <v>497</v>
      </c>
    </row>
    <row r="1205" spans="1:9">
      <c r="A1205" s="178">
        <v>514</v>
      </c>
      <c r="B1205" s="178" t="s">
        <v>688</v>
      </c>
      <c r="C1205" s="178">
        <v>0</v>
      </c>
      <c r="D1205" s="178">
        <v>0</v>
      </c>
      <c r="E1205" s="178">
        <v>0</v>
      </c>
      <c r="F1205">
        <v>0</v>
      </c>
      <c r="G1205" t="s">
        <v>497</v>
      </c>
    </row>
    <row r="1206" spans="1:9">
      <c r="A1206" s="178">
        <v>516</v>
      </c>
      <c r="B1206" s="178" t="s">
        <v>689</v>
      </c>
      <c r="C1206" s="178">
        <v>0</v>
      </c>
      <c r="D1206" s="178">
        <v>0</v>
      </c>
      <c r="E1206" s="178">
        <v>0</v>
      </c>
      <c r="F1206">
        <v>0</v>
      </c>
      <c r="G1206" t="s">
        <v>497</v>
      </c>
    </row>
    <row r="1207" spans="1:9">
      <c r="A1207" s="178">
        <v>518</v>
      </c>
      <c r="B1207" s="178" t="s">
        <v>690</v>
      </c>
      <c r="C1207" s="178">
        <v>0</v>
      </c>
      <c r="D1207" s="178">
        <v>0</v>
      </c>
      <c r="E1207" s="178">
        <v>0</v>
      </c>
      <c r="F1207">
        <v>0</v>
      </c>
      <c r="G1207" t="s">
        <v>497</v>
      </c>
    </row>
    <row r="1208" spans="1:9">
      <c r="A1208" s="178">
        <v>520</v>
      </c>
      <c r="B1208" s="178" t="s">
        <v>294</v>
      </c>
      <c r="C1208" s="178">
        <v>25049.74</v>
      </c>
      <c r="D1208" s="178">
        <v>-1140805.38</v>
      </c>
      <c r="E1208" s="178">
        <v>-1115755.64</v>
      </c>
      <c r="F1208">
        <v>25049.74</v>
      </c>
      <c r="G1208" t="s">
        <v>497</v>
      </c>
    </row>
    <row r="1209" spans="1:9">
      <c r="A1209" s="178">
        <v>530</v>
      </c>
      <c r="B1209" s="178" t="s">
        <v>295</v>
      </c>
      <c r="C1209" s="178">
        <v>-396806.96</v>
      </c>
      <c r="D1209" s="178">
        <v>2191726.11</v>
      </c>
      <c r="E1209" s="178">
        <v>1794919.15</v>
      </c>
      <c r="F1209">
        <v>-396806.96</v>
      </c>
      <c r="G1209" t="s">
        <v>497</v>
      </c>
    </row>
    <row r="1210" spans="1:9">
      <c r="A1210" s="178" t="s">
        <v>454</v>
      </c>
      <c r="B1210" s="178" t="s">
        <v>402</v>
      </c>
      <c r="C1210" s="178" t="s">
        <v>609</v>
      </c>
      <c r="D1210" s="178" t="s">
        <v>610</v>
      </c>
      <c r="E1210" s="178" t="s">
        <v>611</v>
      </c>
      <c r="F1210" t="s">
        <v>612</v>
      </c>
      <c r="G1210" t="s">
        <v>405</v>
      </c>
    </row>
    <row r="1211" spans="1:9">
      <c r="A1211" s="178">
        <v>10</v>
      </c>
      <c r="B1211" s="178" t="s">
        <v>613</v>
      </c>
      <c r="C1211" s="178">
        <v>0</v>
      </c>
      <c r="D1211" s="178">
        <v>0</v>
      </c>
      <c r="E1211" s="178">
        <v>0</v>
      </c>
      <c r="F1211">
        <v>0</v>
      </c>
      <c r="G1211" t="s">
        <v>497</v>
      </c>
    </row>
    <row r="1212" spans="1:9">
      <c r="A1212" s="178">
        <v>20</v>
      </c>
      <c r="B1212" s="178" t="s">
        <v>406</v>
      </c>
      <c r="C1212" s="178">
        <v>6260773.4</v>
      </c>
      <c r="D1212" s="178">
        <v>0</v>
      </c>
      <c r="E1212" s="178">
        <v>6260773.4</v>
      </c>
      <c r="F1212">
        <v>6260773.4</v>
      </c>
      <c r="G1212" t="s">
        <v>497</v>
      </c>
    </row>
    <row r="1213" spans="1:9">
      <c r="A1213" s="178">
        <v>30</v>
      </c>
      <c r="B1213" s="178" t="s">
        <v>614</v>
      </c>
      <c r="C1213" s="178">
        <v>0</v>
      </c>
      <c r="D1213" s="178">
        <v>0</v>
      </c>
      <c r="E1213" s="178">
        <v>0</v>
      </c>
      <c r="F1213">
        <v>0</v>
      </c>
      <c r="G1213" t="s">
        <v>497</v>
      </c>
    </row>
    <row r="1214" spans="1:9">
      <c r="A1214" s="178">
        <v>35</v>
      </c>
      <c r="B1214" s="178" t="s">
        <v>615</v>
      </c>
      <c r="C1214" s="178">
        <v>6260773.4</v>
      </c>
      <c r="D1214" s="178">
        <v>0</v>
      </c>
      <c r="E1214" s="178">
        <v>6260773.4</v>
      </c>
      <c r="F1214">
        <v>6260773.4</v>
      </c>
      <c r="G1214" t="s">
        <v>497</v>
      </c>
    </row>
    <row r="1215" spans="1:9">
      <c r="A1215" s="178">
        <v>40</v>
      </c>
      <c r="B1215" s="178" t="s">
        <v>616</v>
      </c>
      <c r="C1215" s="178">
        <v>3000369.26</v>
      </c>
      <c r="D1215" s="178">
        <v>0</v>
      </c>
      <c r="E1215" s="178">
        <v>3000369.26</v>
      </c>
      <c r="F1215">
        <v>3000369.26</v>
      </c>
      <c r="G1215" t="s">
        <v>497</v>
      </c>
    </row>
    <row r="1216" spans="1:9">
      <c r="A1216" s="178">
        <v>50</v>
      </c>
      <c r="B1216" s="178" t="s">
        <v>617</v>
      </c>
      <c r="C1216" s="178">
        <v>0</v>
      </c>
      <c r="D1216" s="178">
        <v>0</v>
      </c>
      <c r="E1216" s="178">
        <v>0</v>
      </c>
      <c r="F1216">
        <v>0</v>
      </c>
      <c r="G1216" t="s">
        <v>497</v>
      </c>
    </row>
    <row r="1217" spans="1:9">
      <c r="A1217" s="178">
        <v>60</v>
      </c>
      <c r="B1217" s="178" t="s">
        <v>618</v>
      </c>
      <c r="C1217" s="178">
        <v>3260404.14</v>
      </c>
      <c r="D1217" s="178">
        <v>0</v>
      </c>
      <c r="E1217" s="178">
        <v>3260404.14</v>
      </c>
      <c r="F1217">
        <v>3260404.14</v>
      </c>
      <c r="G1217" t="s">
        <v>497</v>
      </c>
    </row>
    <row r="1218" spans="1:9">
      <c r="A1218" s="178">
        <v>70</v>
      </c>
      <c r="B1218" s="178" t="s">
        <v>412</v>
      </c>
      <c r="C1218" s="178">
        <v>48372</v>
      </c>
      <c r="D1218" s="178">
        <v>0</v>
      </c>
      <c r="E1218" s="178">
        <v>48372</v>
      </c>
      <c r="F1218">
        <v>48372</v>
      </c>
      <c r="G1218" t="s">
        <v>497</v>
      </c>
    </row>
    <row r="1219" spans="1:9">
      <c r="A1219" s="178">
        <v>80</v>
      </c>
      <c r="B1219" s="178" t="s">
        <v>413</v>
      </c>
      <c r="C1219" s="178">
        <v>470911.11</v>
      </c>
      <c r="D1219" s="178">
        <v>0</v>
      </c>
      <c r="E1219" s="178">
        <v>470911.11</v>
      </c>
      <c r="F1219">
        <v>470911.11</v>
      </c>
      <c r="G1219" t="s">
        <v>497</v>
      </c>
    </row>
    <row r="1220" spans="1:9">
      <c r="A1220" s="178">
        <v>90</v>
      </c>
      <c r="B1220" s="178" t="s">
        <v>681</v>
      </c>
      <c r="C1220" s="178">
        <v>6875.67</v>
      </c>
      <c r="D1220" s="178">
        <v>0</v>
      </c>
      <c r="E1220" s="178">
        <v>6875.67</v>
      </c>
      <c r="F1220">
        <v>6875.67</v>
      </c>
      <c r="G1220" t="s">
        <v>497</v>
      </c>
    </row>
    <row r="1221" spans="1:9">
      <c r="A1221" s="178">
        <v>100</v>
      </c>
      <c r="B1221" s="178" t="s">
        <v>620</v>
      </c>
      <c r="C1221" s="178">
        <v>2734245.36</v>
      </c>
      <c r="D1221" s="178">
        <v>0</v>
      </c>
      <c r="E1221" s="178">
        <v>2734245.36</v>
      </c>
      <c r="F1221">
        <v>2734245.36</v>
      </c>
      <c r="G1221" t="s">
        <v>497</v>
      </c>
    </row>
    <row r="1222" spans="1:9">
      <c r="A1222" s="178">
        <v>110</v>
      </c>
      <c r="B1222" s="178" t="s">
        <v>621</v>
      </c>
      <c r="C1222" s="178">
        <v>17219.02</v>
      </c>
      <c r="D1222" s="178">
        <v>0</v>
      </c>
      <c r="E1222" s="178">
        <v>17219.02</v>
      </c>
      <c r="F1222">
        <v>17219.02</v>
      </c>
      <c r="G1222" t="s">
        <v>497</v>
      </c>
    </row>
    <row r="1223" spans="1:9">
      <c r="A1223" s="178">
        <v>120</v>
      </c>
      <c r="B1223" s="178" t="s">
        <v>622</v>
      </c>
      <c r="C1223" s="178">
        <v>0</v>
      </c>
      <c r="D1223" s="178">
        <v>0</v>
      </c>
      <c r="E1223" s="178">
        <v>0</v>
      </c>
      <c r="F1223">
        <v>0</v>
      </c>
      <c r="G1223" t="s">
        <v>497</v>
      </c>
    </row>
    <row r="1224" spans="1:9">
      <c r="A1224" s="178">
        <v>130</v>
      </c>
      <c r="B1224" s="178" t="s">
        <v>623</v>
      </c>
      <c r="C1224" s="178">
        <v>2882.39</v>
      </c>
      <c r="D1224" s="178">
        <v>0</v>
      </c>
      <c r="E1224" s="178">
        <v>2882.39</v>
      </c>
      <c r="F1224">
        <v>2882.39</v>
      </c>
      <c r="G1224" t="s">
        <v>497</v>
      </c>
    </row>
    <row r="1225" spans="1:9">
      <c r="A1225" s="178">
        <v>140</v>
      </c>
      <c r="B1225" s="178" t="s">
        <v>624</v>
      </c>
      <c r="C1225" s="178">
        <v>372761.43</v>
      </c>
      <c r="D1225" s="178">
        <v>0</v>
      </c>
      <c r="E1225" s="178">
        <v>372761.43</v>
      </c>
      <c r="F1225">
        <v>372761.43</v>
      </c>
      <c r="G1225" t="s">
        <v>497</v>
      </c>
    </row>
    <row r="1226" spans="1:9">
      <c r="A1226" s="178">
        <v>145</v>
      </c>
      <c r="B1226" s="178" t="s">
        <v>422</v>
      </c>
      <c r="C1226" s="178">
        <v>-352660.02</v>
      </c>
      <c r="D1226" s="178">
        <v>0</v>
      </c>
      <c r="E1226" s="178">
        <v>-352660.02</v>
      </c>
      <c r="F1226">
        <v>-352660.02</v>
      </c>
      <c r="G1226" t="s">
        <v>497</v>
      </c>
    </row>
    <row r="1227" spans="1:9">
      <c r="A1227" s="178">
        <v>150</v>
      </c>
      <c r="B1227" s="178" t="s">
        <v>625</v>
      </c>
      <c r="C1227" s="178">
        <v>3086905.38</v>
      </c>
      <c r="D1227" s="178">
        <v>0</v>
      </c>
      <c r="E1227" s="178">
        <v>3086905.38</v>
      </c>
      <c r="F1227">
        <v>3086905.38</v>
      </c>
      <c r="G1227" t="s">
        <v>497</v>
      </c>
    </row>
    <row r="1228" spans="1:9">
      <c r="A1228" s="178">
        <v>160</v>
      </c>
      <c r="B1228" s="178" t="s">
        <v>626</v>
      </c>
      <c r="C1228" s="178">
        <v>649266</v>
      </c>
      <c r="D1228" s="178">
        <v>0</v>
      </c>
      <c r="E1228" s="178">
        <v>649266</v>
      </c>
      <c r="F1228">
        <v>649266</v>
      </c>
      <c r="G1228" t="s">
        <v>497</v>
      </c>
    </row>
    <row r="1229" spans="1:9">
      <c r="A1229" s="178">
        <v>170</v>
      </c>
      <c r="B1229" s="178" t="s">
        <v>426</v>
      </c>
      <c r="C1229" s="178">
        <v>2437639.38</v>
      </c>
      <c r="D1229" s="178">
        <v>0</v>
      </c>
      <c r="E1229" s="178">
        <v>2437639.38</v>
      </c>
      <c r="F1229">
        <v>2437639.38</v>
      </c>
      <c r="G1229" t="s">
        <v>497</v>
      </c>
    </row>
    <row r="1230" spans="1:9">
      <c r="A1230" s="178">
        <v>190</v>
      </c>
      <c r="B1230" s="178" t="s">
        <v>627</v>
      </c>
      <c r="C1230" s="178">
        <v>0</v>
      </c>
      <c r="D1230" s="178">
        <v>0</v>
      </c>
      <c r="E1230" s="178">
        <v>0</v>
      </c>
      <c r="F1230">
        <v>0</v>
      </c>
      <c r="G1230" t="s">
        <v>497</v>
      </c>
    </row>
    <row r="1231" spans="1:9">
      <c r="A1231" s="178">
        <v>200</v>
      </c>
      <c r="B1231" s="178" t="s">
        <v>426</v>
      </c>
      <c r="C1231" s="178">
        <v>2437639.38</v>
      </c>
      <c r="D1231" s="178">
        <v>0</v>
      </c>
      <c r="E1231" s="178">
        <v>2437639.38</v>
      </c>
      <c r="F1231">
        <v>2437639.38</v>
      </c>
      <c r="G1231" t="s">
        <v>497</v>
      </c>
    </row>
    <row r="1232" spans="1:9">
      <c r="A1232" s="178">
        <v>210</v>
      </c>
      <c r="B1232" s="178" t="s">
        <v>264</v>
      </c>
      <c r="C1232" s="178">
        <v>2437639.38</v>
      </c>
      <c r="D1232" s="178">
        <v>0</v>
      </c>
      <c r="E1232" s="178">
        <v>2437639.38</v>
      </c>
      <c r="F1232">
        <v>2437639.38</v>
      </c>
      <c r="G1232" t="s">
        <v>497</v>
      </c>
    </row>
    <row r="1233" spans="1:9">
      <c r="A1233" s="178">
        <v>220</v>
      </c>
      <c r="B1233" s="178" t="s">
        <v>682</v>
      </c>
      <c r="C1233" s="178">
        <v>0</v>
      </c>
      <c r="D1233" s="178">
        <v>0</v>
      </c>
      <c r="E1233" s="178">
        <v>0</v>
      </c>
      <c r="F1233">
        <v>0</v>
      </c>
      <c r="G1233" t="s">
        <v>497</v>
      </c>
    </row>
    <row r="1234" spans="1:9">
      <c r="A1234" s="178">
        <v>230</v>
      </c>
      <c r="B1234" s="178" t="s">
        <v>266</v>
      </c>
      <c r="C1234" s="178">
        <v>-3711474.67</v>
      </c>
      <c r="D1234" s="178">
        <v>-184695963.87</v>
      </c>
      <c r="E1234" s="178">
        <v>-188407438.54</v>
      </c>
      <c r="F1234">
        <v>-3711474.67</v>
      </c>
      <c r="G1234" t="s">
        <v>497</v>
      </c>
    </row>
    <row r="1235" spans="1:9">
      <c r="A1235" s="178">
        <v>240</v>
      </c>
      <c r="B1235" s="178" t="s">
        <v>267</v>
      </c>
      <c r="C1235" s="178">
        <v>-1407058.42</v>
      </c>
      <c r="D1235" s="178">
        <v>-12581317.11</v>
      </c>
      <c r="E1235" s="178">
        <v>-13988375.53</v>
      </c>
      <c r="F1235">
        <v>-1407058.42</v>
      </c>
      <c r="G1235" t="s">
        <v>497</v>
      </c>
    </row>
    <row r="1236" spans="1:9">
      <c r="A1236" s="178">
        <v>250</v>
      </c>
      <c r="B1236" s="178" t="s">
        <v>268</v>
      </c>
      <c r="C1236" s="178">
        <v>2154030.81</v>
      </c>
      <c r="D1236" s="178">
        <v>-125577057.35</v>
      </c>
      <c r="E1236" s="178">
        <v>-123423026.54</v>
      </c>
      <c r="F1236">
        <v>2154030.81</v>
      </c>
      <c r="G1236" t="s">
        <v>497</v>
      </c>
    </row>
    <row r="1237" spans="1:9">
      <c r="A1237" s="178">
        <v>260</v>
      </c>
      <c r="B1237" s="178" t="s">
        <v>630</v>
      </c>
      <c r="C1237" s="178">
        <v>0</v>
      </c>
      <c r="D1237" s="178">
        <v>0</v>
      </c>
      <c r="E1237" s="178">
        <v>0</v>
      </c>
      <c r="F1237">
        <v>0</v>
      </c>
      <c r="G1237" t="s">
        <v>497</v>
      </c>
    </row>
    <row r="1238" spans="1:9">
      <c r="A1238" s="178">
        <v>270</v>
      </c>
      <c r="B1238" s="178" t="s">
        <v>269</v>
      </c>
      <c r="C1238" s="178">
        <v>-305175</v>
      </c>
      <c r="D1238" s="178">
        <v>-5055696.33</v>
      </c>
      <c r="E1238" s="178">
        <v>-5360871.33</v>
      </c>
      <c r="F1238">
        <v>-305175</v>
      </c>
      <c r="G1238" t="s">
        <v>497</v>
      </c>
    </row>
    <row r="1239" spans="1:9">
      <c r="A1239" s="178">
        <v>280</v>
      </c>
      <c r="B1239" s="178" t="s">
        <v>318</v>
      </c>
      <c r="C1239" s="178">
        <v>0</v>
      </c>
      <c r="D1239" s="178">
        <v>0</v>
      </c>
      <c r="E1239" s="178">
        <v>0</v>
      </c>
      <c r="F1239">
        <v>0</v>
      </c>
      <c r="G1239" t="s">
        <v>497</v>
      </c>
    </row>
    <row r="1240" spans="1:9">
      <c r="A1240" s="178">
        <v>290</v>
      </c>
      <c r="B1240" s="178" t="s">
        <v>319</v>
      </c>
      <c r="C1240" s="178">
        <v>0</v>
      </c>
      <c r="D1240" s="178">
        <v>-35297829.62</v>
      </c>
      <c r="E1240" s="178">
        <v>-35297829.62</v>
      </c>
      <c r="F1240">
        <v>0</v>
      </c>
      <c r="G1240" t="s">
        <v>497</v>
      </c>
    </row>
    <row r="1241" spans="1:9">
      <c r="A1241" s="178">
        <v>300</v>
      </c>
      <c r="B1241" s="178" t="s">
        <v>270</v>
      </c>
      <c r="C1241" s="178">
        <v>0</v>
      </c>
      <c r="D1241" s="178">
        <v>0</v>
      </c>
      <c r="E1241" s="178">
        <v>0</v>
      </c>
      <c r="F1241">
        <v>0</v>
      </c>
      <c r="G1241" t="s">
        <v>497</v>
      </c>
    </row>
    <row r="1242" spans="1:9">
      <c r="A1242" s="178">
        <v>310</v>
      </c>
      <c r="B1242" s="178" t="s">
        <v>631</v>
      </c>
      <c r="C1242" s="178">
        <v>0</v>
      </c>
      <c r="D1242" s="178">
        <v>700</v>
      </c>
      <c r="E1242" s="178">
        <v>700</v>
      </c>
      <c r="F1242">
        <v>0</v>
      </c>
      <c r="G1242" t="s">
        <v>497</v>
      </c>
    </row>
    <row r="1243" spans="1:9">
      <c r="A1243" s="178">
        <v>320</v>
      </c>
      <c r="B1243" s="178" t="s">
        <v>271</v>
      </c>
      <c r="C1243" s="178">
        <v>-818623.21</v>
      </c>
      <c r="D1243" s="178">
        <v>8855903.79</v>
      </c>
      <c r="E1243" s="178">
        <v>8037280.58</v>
      </c>
      <c r="F1243">
        <v>-818623.21</v>
      </c>
      <c r="G1243" t="s">
        <v>497</v>
      </c>
    </row>
    <row r="1244" spans="1:9">
      <c r="A1244" s="178">
        <v>330</v>
      </c>
      <c r="B1244" s="178" t="s">
        <v>632</v>
      </c>
      <c r="C1244" s="178">
        <v>-124893.18</v>
      </c>
      <c r="D1244" s="178">
        <v>1901500.77</v>
      </c>
      <c r="E1244" s="178">
        <v>1776607.59</v>
      </c>
      <c r="F1244">
        <v>-124893.18</v>
      </c>
      <c r="G1244" t="s">
        <v>497</v>
      </c>
    </row>
    <row r="1245" spans="1:9">
      <c r="A1245" s="178">
        <v>340</v>
      </c>
      <c r="B1245" s="178" t="s">
        <v>633</v>
      </c>
      <c r="C1245" s="178">
        <v>0</v>
      </c>
      <c r="D1245" s="178">
        <v>1016734.14</v>
      </c>
      <c r="E1245" s="178">
        <v>1016734.14</v>
      </c>
      <c r="F1245">
        <v>0</v>
      </c>
      <c r="G1245" t="s">
        <v>497</v>
      </c>
    </row>
    <row r="1246" spans="1:9">
      <c r="A1246" s="178">
        <v>350</v>
      </c>
      <c r="B1246" s="178" t="s">
        <v>320</v>
      </c>
      <c r="C1246" s="178">
        <v>0</v>
      </c>
      <c r="D1246" s="178">
        <v>0</v>
      </c>
      <c r="E1246" s="178">
        <v>0</v>
      </c>
      <c r="F1246">
        <v>0</v>
      </c>
      <c r="G1246" t="s">
        <v>497</v>
      </c>
    </row>
    <row r="1247" spans="1:9">
      <c r="A1247" s="178">
        <v>360</v>
      </c>
      <c r="B1247" s="178" t="s">
        <v>683</v>
      </c>
      <c r="C1247" s="178">
        <v>667374.66</v>
      </c>
      <c r="D1247" s="178">
        <v>22618386.99</v>
      </c>
      <c r="E1247" s="178">
        <v>23285761.65</v>
      </c>
      <c r="F1247">
        <v>667374.66</v>
      </c>
      <c r="G1247" t="s">
        <v>497</v>
      </c>
    </row>
    <row r="1248" spans="1:9">
      <c r="A1248" s="178">
        <v>370</v>
      </c>
      <c r="B1248" s="178" t="s">
        <v>684</v>
      </c>
      <c r="C1248" s="178">
        <v>0</v>
      </c>
      <c r="D1248" s="178">
        <v>38386215.2</v>
      </c>
      <c r="E1248" s="178">
        <v>38386215.2</v>
      </c>
      <c r="F1248">
        <v>0</v>
      </c>
      <c r="G1248" t="s">
        <v>497</v>
      </c>
    </row>
    <row r="1249" spans="1:9">
      <c r="A1249" s="178">
        <v>380</v>
      </c>
      <c r="B1249" s="178" t="s">
        <v>634</v>
      </c>
      <c r="C1249" s="178">
        <v>-3545819.01</v>
      </c>
      <c r="D1249" s="178">
        <v>-290428423.39</v>
      </c>
      <c r="E1249" s="178">
        <v>-293974242.4</v>
      </c>
      <c r="F1249">
        <v>-3545819.01</v>
      </c>
      <c r="G1249" t="s">
        <v>497</v>
      </c>
    </row>
    <row r="1250" spans="1:9">
      <c r="A1250" s="178">
        <v>390</v>
      </c>
      <c r="B1250" s="178" t="s">
        <v>273</v>
      </c>
      <c r="C1250" s="178">
        <v>0</v>
      </c>
      <c r="D1250" s="178">
        <v>0</v>
      </c>
      <c r="E1250" s="178">
        <v>0</v>
      </c>
      <c r="F1250">
        <v>0</v>
      </c>
      <c r="G1250" t="s">
        <v>497</v>
      </c>
    </row>
    <row r="1251" spans="1:9">
      <c r="A1251" s="178">
        <v>400</v>
      </c>
      <c r="B1251" s="178" t="s">
        <v>274</v>
      </c>
      <c r="C1251" s="178">
        <v>0</v>
      </c>
      <c r="D1251" s="178">
        <v>0</v>
      </c>
      <c r="E1251" s="178">
        <v>0</v>
      </c>
      <c r="F1251">
        <v>0</v>
      </c>
      <c r="G1251" t="s">
        <v>497</v>
      </c>
    </row>
    <row r="1252" spans="1:9">
      <c r="A1252" s="178">
        <v>410</v>
      </c>
      <c r="B1252" s="178" t="s">
        <v>276</v>
      </c>
      <c r="C1252" s="178">
        <v>0</v>
      </c>
      <c r="D1252" s="178">
        <v>179026</v>
      </c>
      <c r="E1252" s="178">
        <v>179026</v>
      </c>
      <c r="F1252">
        <v>0</v>
      </c>
      <c r="G1252" t="s">
        <v>497</v>
      </c>
    </row>
    <row r="1253" spans="1:9">
      <c r="A1253" s="178">
        <v>420</v>
      </c>
      <c r="B1253" s="178" t="s">
        <v>277</v>
      </c>
      <c r="C1253" s="178">
        <v>0</v>
      </c>
      <c r="D1253" s="178">
        <v>-41092.14</v>
      </c>
      <c r="E1253" s="178">
        <v>-41092.14</v>
      </c>
      <c r="F1253">
        <v>0</v>
      </c>
      <c r="G1253" t="s">
        <v>497</v>
      </c>
    </row>
    <row r="1254" spans="1:9">
      <c r="A1254" s="178">
        <v>430</v>
      </c>
      <c r="B1254" s="178" t="s">
        <v>635</v>
      </c>
      <c r="C1254" s="178">
        <v>0</v>
      </c>
      <c r="D1254" s="178">
        <v>900282.88</v>
      </c>
      <c r="E1254" s="178">
        <v>900282.88</v>
      </c>
      <c r="F1254">
        <v>0</v>
      </c>
      <c r="G1254" t="s">
        <v>497</v>
      </c>
    </row>
    <row r="1255" spans="1:9">
      <c r="A1255" s="178">
        <v>435</v>
      </c>
      <c r="B1255" s="178" t="s">
        <v>685</v>
      </c>
      <c r="C1255" s="178">
        <v>0</v>
      </c>
      <c r="D1255" s="178">
        <v>96976859.67</v>
      </c>
      <c r="E1255" s="178">
        <v>96976859.67</v>
      </c>
      <c r="F1255">
        <v>0</v>
      </c>
      <c r="G1255" t="s">
        <v>497</v>
      </c>
    </row>
    <row r="1256" spans="1:9">
      <c r="A1256" s="178">
        <v>440</v>
      </c>
      <c r="B1256" s="178" t="s">
        <v>280</v>
      </c>
      <c r="C1256" s="178">
        <v>0</v>
      </c>
      <c r="D1256" s="178">
        <v>98015076.41</v>
      </c>
      <c r="E1256" s="178">
        <v>98015076.41</v>
      </c>
      <c r="F1256">
        <v>0</v>
      </c>
      <c r="G1256" t="s">
        <v>497</v>
      </c>
    </row>
    <row r="1257" spans="1:9">
      <c r="A1257" s="178">
        <v>450</v>
      </c>
      <c r="B1257" s="178" t="s">
        <v>281</v>
      </c>
      <c r="C1257" s="178">
        <v>0</v>
      </c>
      <c r="D1257" s="178">
        <v>0</v>
      </c>
      <c r="E1257" s="178">
        <v>0</v>
      </c>
      <c r="F1257">
        <v>0</v>
      </c>
      <c r="G1257" t="s">
        <v>497</v>
      </c>
    </row>
    <row r="1258" spans="1:9">
      <c r="A1258" s="178">
        <v>452</v>
      </c>
      <c r="B1258" s="178" t="s">
        <v>322</v>
      </c>
      <c r="C1258" s="178">
        <v>0</v>
      </c>
      <c r="D1258" s="178">
        <v>0</v>
      </c>
      <c r="E1258" s="178">
        <v>0</v>
      </c>
      <c r="F1258">
        <v>0</v>
      </c>
      <c r="G1258" t="s">
        <v>497</v>
      </c>
    </row>
    <row r="1259" spans="1:9">
      <c r="A1259" s="178">
        <v>454</v>
      </c>
      <c r="B1259" s="178" t="s">
        <v>282</v>
      </c>
      <c r="C1259" s="178">
        <v>0</v>
      </c>
      <c r="D1259" s="178">
        <v>0</v>
      </c>
      <c r="E1259" s="178">
        <v>0</v>
      </c>
      <c r="F1259">
        <v>0</v>
      </c>
      <c r="G1259" t="s">
        <v>497</v>
      </c>
    </row>
    <row r="1260" spans="1:9">
      <c r="A1260" s="178">
        <v>456</v>
      </c>
      <c r="B1260" s="178" t="s">
        <v>637</v>
      </c>
      <c r="C1260" s="178">
        <v>0</v>
      </c>
      <c r="D1260" s="178">
        <v>-67038.82</v>
      </c>
      <c r="E1260" s="178">
        <v>-67038.82</v>
      </c>
      <c r="F1260">
        <v>0</v>
      </c>
      <c r="G1260" t="s">
        <v>497</v>
      </c>
    </row>
    <row r="1261" spans="1:9">
      <c r="A1261" s="178">
        <v>460</v>
      </c>
      <c r="B1261" s="178" t="s">
        <v>283</v>
      </c>
      <c r="C1261" s="178">
        <v>0</v>
      </c>
      <c r="D1261" s="178">
        <v>-159062.65</v>
      </c>
      <c r="E1261" s="178">
        <v>-159062.65</v>
      </c>
      <c r="F1261">
        <v>0</v>
      </c>
      <c r="G1261" t="s">
        <v>497</v>
      </c>
    </row>
    <row r="1262" spans="1:9">
      <c r="A1262" s="178">
        <v>462</v>
      </c>
      <c r="B1262" s="178" t="s">
        <v>286</v>
      </c>
      <c r="C1262" s="178">
        <v>0</v>
      </c>
      <c r="D1262" s="178">
        <v>-51306.34</v>
      </c>
      <c r="E1262" s="178">
        <v>-51306.34</v>
      </c>
      <c r="F1262">
        <v>0</v>
      </c>
      <c r="G1262" t="s">
        <v>497</v>
      </c>
    </row>
    <row r="1263" spans="1:9">
      <c r="A1263" s="178">
        <v>464</v>
      </c>
      <c r="B1263" s="178" t="s">
        <v>686</v>
      </c>
      <c r="C1263" s="178">
        <v>98.8</v>
      </c>
      <c r="D1263" s="178">
        <v>1679.6</v>
      </c>
      <c r="E1263" s="178">
        <v>1778.4</v>
      </c>
      <c r="F1263">
        <v>98.8</v>
      </c>
      <c r="G1263" t="s">
        <v>497</v>
      </c>
    </row>
    <row r="1264" spans="1:9">
      <c r="A1264" s="178">
        <v>470</v>
      </c>
      <c r="B1264" s="178" t="s">
        <v>638</v>
      </c>
      <c r="C1264" s="178">
        <v>962.36</v>
      </c>
      <c r="D1264" s="178">
        <v>118051.83</v>
      </c>
      <c r="E1264" s="178">
        <v>119014.19</v>
      </c>
      <c r="F1264">
        <v>962.36</v>
      </c>
      <c r="G1264" t="s">
        <v>497</v>
      </c>
    </row>
    <row r="1265" spans="1:9">
      <c r="A1265" s="178">
        <v>480</v>
      </c>
      <c r="B1265" s="178" t="s">
        <v>284</v>
      </c>
      <c r="C1265" s="178">
        <v>0</v>
      </c>
      <c r="D1265" s="178">
        <v>-715521.74</v>
      </c>
      <c r="E1265" s="178">
        <v>-715521.74</v>
      </c>
      <c r="F1265">
        <v>0</v>
      </c>
      <c r="G1265" t="s">
        <v>497</v>
      </c>
    </row>
    <row r="1266" spans="1:9">
      <c r="A1266" s="178">
        <v>490</v>
      </c>
      <c r="B1266" s="178" t="s">
        <v>639</v>
      </c>
      <c r="C1266" s="178">
        <v>5814.51</v>
      </c>
      <c r="D1266" s="178">
        <v>257459.21</v>
      </c>
      <c r="E1266" s="178">
        <v>263273.72</v>
      </c>
      <c r="F1266">
        <v>5814.51</v>
      </c>
      <c r="G1266" t="s">
        <v>497</v>
      </c>
    </row>
    <row r="1267" spans="1:9">
      <c r="A1267" s="178">
        <v>500</v>
      </c>
      <c r="B1267" s="178" t="s">
        <v>285</v>
      </c>
      <c r="C1267" s="178">
        <v>0</v>
      </c>
      <c r="D1267" s="178">
        <v>-130985.44</v>
      </c>
      <c r="E1267" s="178">
        <v>-130985.44</v>
      </c>
      <c r="F1267">
        <v>0</v>
      </c>
      <c r="G1267" t="s">
        <v>497</v>
      </c>
    </row>
    <row r="1268" spans="1:9">
      <c r="A1268" s="178">
        <v>510</v>
      </c>
      <c r="B1268" s="178" t="s">
        <v>640</v>
      </c>
      <c r="C1268" s="178">
        <v>0</v>
      </c>
      <c r="D1268" s="178">
        <v>27616.07</v>
      </c>
      <c r="E1268" s="178">
        <v>27616.07</v>
      </c>
      <c r="F1268">
        <v>0</v>
      </c>
      <c r="G1268" t="s">
        <v>497</v>
      </c>
    </row>
    <row r="1269" spans="1:9">
      <c r="A1269" s="178">
        <v>512</v>
      </c>
      <c r="B1269" s="178" t="s">
        <v>687</v>
      </c>
      <c r="C1269" s="178">
        <v>0</v>
      </c>
      <c r="D1269" s="178">
        <v>-4185.18</v>
      </c>
      <c r="E1269" s="178">
        <v>-4185.18</v>
      </c>
      <c r="F1269">
        <v>0</v>
      </c>
      <c r="G1269" t="s">
        <v>497</v>
      </c>
    </row>
    <row r="1270" spans="1:9">
      <c r="A1270" s="178">
        <v>514</v>
      </c>
      <c r="B1270" s="178" t="s">
        <v>688</v>
      </c>
      <c r="C1270" s="178">
        <v>0</v>
      </c>
      <c r="D1270" s="178">
        <v>-10000</v>
      </c>
      <c r="E1270" s="178">
        <v>-10000</v>
      </c>
      <c r="F1270">
        <v>0</v>
      </c>
      <c r="G1270" t="s">
        <v>497</v>
      </c>
    </row>
    <row r="1271" spans="1:9">
      <c r="A1271" s="178">
        <v>516</v>
      </c>
      <c r="B1271" s="178" t="s">
        <v>689</v>
      </c>
      <c r="C1271" s="178">
        <v>0</v>
      </c>
      <c r="D1271" s="178">
        <v>0</v>
      </c>
      <c r="E1271" s="178">
        <v>0</v>
      </c>
      <c r="F1271">
        <v>0</v>
      </c>
      <c r="G1271" t="s">
        <v>497</v>
      </c>
    </row>
    <row r="1272" spans="1:9">
      <c r="A1272" s="178">
        <v>518</v>
      </c>
      <c r="B1272" s="178" t="s">
        <v>690</v>
      </c>
      <c r="C1272" s="178">
        <v>0</v>
      </c>
      <c r="D1272" s="178">
        <v>0</v>
      </c>
      <c r="E1272" s="178">
        <v>0</v>
      </c>
      <c r="F1272">
        <v>0</v>
      </c>
      <c r="G1272" t="s">
        <v>497</v>
      </c>
    </row>
    <row r="1273" spans="1:9">
      <c r="A1273" s="178">
        <v>520</v>
      </c>
      <c r="B1273" s="178" t="s">
        <v>294</v>
      </c>
      <c r="C1273" s="178">
        <v>6875.67</v>
      </c>
      <c r="D1273" s="178">
        <v>-733293.46</v>
      </c>
      <c r="E1273" s="178">
        <v>-726417.79</v>
      </c>
      <c r="F1273">
        <v>6875.67</v>
      </c>
      <c r="G1273" t="s">
        <v>497</v>
      </c>
    </row>
    <row r="1274" spans="1:9">
      <c r="A1274" s="178">
        <v>530</v>
      </c>
      <c r="B1274" s="178" t="s">
        <v>295</v>
      </c>
      <c r="C1274" s="178">
        <v>-1101303.96</v>
      </c>
      <c r="D1274" s="178">
        <v>-193146640.44</v>
      </c>
      <c r="E1274" s="178">
        <v>-194247944.4</v>
      </c>
      <c r="F1274">
        <v>-1101303.96</v>
      </c>
      <c r="G1274" t="s">
        <v>497</v>
      </c>
    </row>
    <row r="1275" spans="1:9">
      <c r="A1275" s="178" t="s">
        <v>455</v>
      </c>
      <c r="B1275" s="178" t="s">
        <v>402</v>
      </c>
      <c r="C1275" s="178" t="s">
        <v>609</v>
      </c>
      <c r="D1275" s="178" t="s">
        <v>610</v>
      </c>
      <c r="E1275" s="178" t="s">
        <v>611</v>
      </c>
      <c r="F1275" t="s">
        <v>612</v>
      </c>
      <c r="G1275" t="s">
        <v>405</v>
      </c>
    </row>
    <row r="1276" spans="1:9">
      <c r="A1276" s="178">
        <v>10</v>
      </c>
      <c r="B1276" s="178" t="s">
        <v>613</v>
      </c>
      <c r="C1276" s="178">
        <v>0</v>
      </c>
      <c r="D1276" s="178">
        <v>0</v>
      </c>
      <c r="E1276" s="178">
        <v>0</v>
      </c>
      <c r="F1276">
        <v>0</v>
      </c>
      <c r="G1276" t="s">
        <v>497</v>
      </c>
    </row>
    <row r="1277" spans="1:9">
      <c r="A1277" s="178">
        <v>20</v>
      </c>
      <c r="B1277" s="178" t="s">
        <v>406</v>
      </c>
      <c r="C1277" s="178">
        <v>311300.1</v>
      </c>
      <c r="D1277" s="178">
        <v>0</v>
      </c>
      <c r="E1277" s="178">
        <v>311300.1</v>
      </c>
      <c r="F1277">
        <v>311300.1</v>
      </c>
      <c r="G1277" t="s">
        <v>497</v>
      </c>
    </row>
    <row r="1278" spans="1:9">
      <c r="A1278" s="178">
        <v>30</v>
      </c>
      <c r="B1278" s="178" t="s">
        <v>614</v>
      </c>
      <c r="C1278" s="178">
        <v>837.12</v>
      </c>
      <c r="D1278" s="178">
        <v>0</v>
      </c>
      <c r="E1278" s="178">
        <v>837.12</v>
      </c>
      <c r="F1278">
        <v>837.12</v>
      </c>
      <c r="G1278" t="s">
        <v>497</v>
      </c>
    </row>
    <row r="1279" spans="1:9">
      <c r="A1279" s="178">
        <v>35</v>
      </c>
      <c r="B1279" s="178" t="s">
        <v>615</v>
      </c>
      <c r="C1279" s="178">
        <v>310462.98</v>
      </c>
      <c r="D1279" s="178">
        <v>0</v>
      </c>
      <c r="E1279" s="178">
        <v>310462.98</v>
      </c>
      <c r="F1279">
        <v>310462.98</v>
      </c>
      <c r="G1279" t="s">
        <v>497</v>
      </c>
    </row>
    <row r="1280" spans="1:9">
      <c r="A1280" s="178">
        <v>40</v>
      </c>
      <c r="B1280" s="178" t="s">
        <v>616</v>
      </c>
      <c r="C1280" s="178">
        <v>182570.84</v>
      </c>
      <c r="D1280" s="178">
        <v>0</v>
      </c>
      <c r="E1280" s="178">
        <v>182570.84</v>
      </c>
      <c r="F1280">
        <v>182570.84</v>
      </c>
      <c r="G1280" t="s">
        <v>497</v>
      </c>
    </row>
    <row r="1281" spans="1:9">
      <c r="A1281" s="178">
        <v>50</v>
      </c>
      <c r="B1281" s="178" t="s">
        <v>617</v>
      </c>
      <c r="C1281" s="178">
        <v>0</v>
      </c>
      <c r="D1281" s="178">
        <v>0</v>
      </c>
      <c r="E1281" s="178">
        <v>0</v>
      </c>
      <c r="F1281">
        <v>0</v>
      </c>
      <c r="G1281" t="s">
        <v>497</v>
      </c>
    </row>
    <row r="1282" spans="1:9">
      <c r="A1282" s="178">
        <v>60</v>
      </c>
      <c r="B1282" s="178" t="s">
        <v>618</v>
      </c>
      <c r="C1282" s="178">
        <v>127892.14</v>
      </c>
      <c r="D1282" s="178">
        <v>0</v>
      </c>
      <c r="E1282" s="178">
        <v>127892.14</v>
      </c>
      <c r="F1282">
        <v>127892.14</v>
      </c>
      <c r="G1282" t="s">
        <v>497</v>
      </c>
    </row>
    <row r="1283" spans="1:9">
      <c r="A1283" s="178">
        <v>70</v>
      </c>
      <c r="B1283" s="178" t="s">
        <v>412</v>
      </c>
      <c r="C1283" s="178">
        <v>104836.7</v>
      </c>
      <c r="D1283" s="178">
        <v>0</v>
      </c>
      <c r="E1283" s="178">
        <v>104836.7</v>
      </c>
      <c r="F1283">
        <v>104836.7</v>
      </c>
      <c r="G1283" t="s">
        <v>497</v>
      </c>
    </row>
    <row r="1284" spans="1:9">
      <c r="A1284" s="178">
        <v>80</v>
      </c>
      <c r="B1284" s="178" t="s">
        <v>413</v>
      </c>
      <c r="C1284" s="178">
        <v>7511.81</v>
      </c>
      <c r="D1284" s="178">
        <v>0</v>
      </c>
      <c r="E1284" s="178">
        <v>7511.81</v>
      </c>
      <c r="F1284">
        <v>7511.81</v>
      </c>
      <c r="G1284" t="s">
        <v>497</v>
      </c>
    </row>
    <row r="1285" spans="1:9">
      <c r="A1285" s="178">
        <v>90</v>
      </c>
      <c r="B1285" s="178" t="s">
        <v>619</v>
      </c>
      <c r="C1285" s="178">
        <v>1124.99</v>
      </c>
      <c r="D1285" s="178">
        <v>0</v>
      </c>
      <c r="E1285" s="178">
        <v>1124.99</v>
      </c>
      <c r="F1285">
        <v>1124.99</v>
      </c>
      <c r="G1285" t="s">
        <v>497</v>
      </c>
    </row>
    <row r="1286" spans="1:9">
      <c r="A1286" s="178">
        <v>100</v>
      </c>
      <c r="B1286" s="178" t="s">
        <v>620</v>
      </c>
      <c r="C1286" s="178">
        <v>14418.64</v>
      </c>
      <c r="D1286" s="178">
        <v>0</v>
      </c>
      <c r="E1286" s="178">
        <v>14418.64</v>
      </c>
      <c r="F1286">
        <v>14418.64</v>
      </c>
      <c r="G1286" t="s">
        <v>497</v>
      </c>
    </row>
    <row r="1287" spans="1:9">
      <c r="A1287" s="178">
        <v>110</v>
      </c>
      <c r="B1287" s="178" t="s">
        <v>621</v>
      </c>
      <c r="C1287" s="178">
        <v>0</v>
      </c>
      <c r="D1287" s="178">
        <v>0</v>
      </c>
      <c r="E1287" s="178">
        <v>0</v>
      </c>
      <c r="F1287">
        <v>0</v>
      </c>
      <c r="G1287" t="s">
        <v>497</v>
      </c>
    </row>
    <row r="1288" spans="1:9">
      <c r="A1288" s="178">
        <v>120</v>
      </c>
      <c r="B1288" s="178" t="s">
        <v>622</v>
      </c>
      <c r="C1288" s="178">
        <v>-1128.45</v>
      </c>
      <c r="D1288" s="178">
        <v>0</v>
      </c>
      <c r="E1288" s="178">
        <v>-1128.45</v>
      </c>
      <c r="F1288">
        <v>-1128.45</v>
      </c>
      <c r="G1288" t="s">
        <v>497</v>
      </c>
    </row>
    <row r="1289" spans="1:9">
      <c r="A1289" s="178">
        <v>130</v>
      </c>
      <c r="B1289" s="178" t="s">
        <v>623</v>
      </c>
      <c r="C1289" s="178">
        <v>0</v>
      </c>
      <c r="D1289" s="178">
        <v>0</v>
      </c>
      <c r="E1289" s="178">
        <v>0</v>
      </c>
      <c r="F1289">
        <v>0</v>
      </c>
      <c r="G1289" t="s">
        <v>497</v>
      </c>
    </row>
    <row r="1290" spans="1:9">
      <c r="A1290" s="178">
        <v>140</v>
      </c>
      <c r="B1290" s="178" t="s">
        <v>624</v>
      </c>
      <c r="C1290" s="178">
        <v>0</v>
      </c>
      <c r="D1290" s="178">
        <v>0</v>
      </c>
      <c r="E1290" s="178">
        <v>0</v>
      </c>
      <c r="F1290">
        <v>0</v>
      </c>
      <c r="G1290" t="s">
        <v>497</v>
      </c>
    </row>
    <row r="1291" spans="1:9">
      <c r="A1291" s="178">
        <v>145</v>
      </c>
      <c r="B1291" s="178" t="s">
        <v>422</v>
      </c>
      <c r="C1291" s="178">
        <v>-1128.45</v>
      </c>
      <c r="D1291" s="178">
        <v>0</v>
      </c>
      <c r="E1291" s="178">
        <v>-1128.45</v>
      </c>
      <c r="F1291">
        <v>-1128.45</v>
      </c>
      <c r="G1291" t="s">
        <v>497</v>
      </c>
    </row>
    <row r="1292" spans="1:9">
      <c r="A1292" s="178">
        <v>150</v>
      </c>
      <c r="B1292" s="178" t="s">
        <v>625</v>
      </c>
      <c r="C1292" s="178">
        <v>15547.09</v>
      </c>
      <c r="D1292" s="178">
        <v>0</v>
      </c>
      <c r="E1292" s="178">
        <v>15547.09</v>
      </c>
      <c r="F1292">
        <v>15547.09</v>
      </c>
      <c r="G1292" t="s">
        <v>497</v>
      </c>
    </row>
    <row r="1293" spans="1:9">
      <c r="A1293" s="178">
        <v>160</v>
      </c>
      <c r="B1293" s="178" t="s">
        <v>626</v>
      </c>
      <c r="C1293" s="178">
        <v>0</v>
      </c>
      <c r="D1293" s="178">
        <v>0</v>
      </c>
      <c r="E1293" s="178">
        <v>0</v>
      </c>
      <c r="F1293">
        <v>0</v>
      </c>
      <c r="G1293" t="s">
        <v>497</v>
      </c>
    </row>
    <row r="1294" spans="1:9">
      <c r="A1294" s="178">
        <v>170</v>
      </c>
      <c r="B1294" s="178" t="s">
        <v>426</v>
      </c>
      <c r="C1294" s="178">
        <v>15547.09</v>
      </c>
      <c r="D1294" s="178">
        <v>0</v>
      </c>
      <c r="E1294" s="178">
        <v>15547.09</v>
      </c>
      <c r="F1294">
        <v>15547.09</v>
      </c>
      <c r="G1294" t="s">
        <v>497</v>
      </c>
    </row>
    <row r="1295" spans="1:9">
      <c r="A1295" s="178">
        <v>190</v>
      </c>
      <c r="B1295" s="178" t="s">
        <v>627</v>
      </c>
      <c r="C1295" s="178">
        <v>0</v>
      </c>
      <c r="D1295" s="178">
        <v>0</v>
      </c>
      <c r="E1295" s="178">
        <v>0</v>
      </c>
      <c r="F1295">
        <v>0</v>
      </c>
      <c r="G1295" t="s">
        <v>497</v>
      </c>
    </row>
    <row r="1296" spans="1:9">
      <c r="A1296" s="178">
        <v>200</v>
      </c>
      <c r="B1296" s="178" t="s">
        <v>426</v>
      </c>
      <c r="C1296" s="178">
        <v>15547.09</v>
      </c>
      <c r="D1296" s="178">
        <v>0</v>
      </c>
      <c r="E1296" s="178">
        <v>15547.09</v>
      </c>
      <c r="F1296">
        <v>15547.09</v>
      </c>
      <c r="G1296" t="s">
        <v>497</v>
      </c>
    </row>
    <row r="1297" spans="1:9">
      <c r="A1297" s="178">
        <v>210</v>
      </c>
      <c r="B1297" s="178" t="s">
        <v>264</v>
      </c>
      <c r="C1297" s="178">
        <v>15547.09</v>
      </c>
      <c r="D1297" s="178">
        <v>0</v>
      </c>
      <c r="E1297" s="178">
        <v>15547.09</v>
      </c>
      <c r="F1297">
        <v>15547.09</v>
      </c>
      <c r="G1297" t="s">
        <v>497</v>
      </c>
    </row>
    <row r="1298" spans="1:9">
      <c r="A1298" s="178">
        <v>220</v>
      </c>
      <c r="B1298" s="178" t="s">
        <v>628</v>
      </c>
      <c r="C1298" s="178">
        <v>0</v>
      </c>
      <c r="D1298" s="178">
        <v>0</v>
      </c>
      <c r="E1298" s="178">
        <v>0</v>
      </c>
      <c r="F1298">
        <v>0</v>
      </c>
      <c r="G1298" t="s">
        <v>497</v>
      </c>
    </row>
    <row r="1299" spans="1:9">
      <c r="A1299" s="178">
        <v>230</v>
      </c>
      <c r="B1299" s="178" t="s">
        <v>266</v>
      </c>
      <c r="C1299" s="178">
        <v>-14750.84</v>
      </c>
      <c r="D1299" s="178">
        <v>-10961.48</v>
      </c>
      <c r="E1299" s="178">
        <v>-25712.32</v>
      </c>
      <c r="F1299">
        <v>-14750.84</v>
      </c>
      <c r="G1299" t="s">
        <v>497</v>
      </c>
    </row>
    <row r="1300" spans="1:9">
      <c r="A1300" s="178">
        <v>235</v>
      </c>
      <c r="B1300" s="178" t="s">
        <v>629</v>
      </c>
      <c r="C1300" s="178">
        <v>0</v>
      </c>
      <c r="D1300" s="178">
        <v>0</v>
      </c>
      <c r="E1300" s="178">
        <v>0</v>
      </c>
      <c r="F1300">
        <v>0</v>
      </c>
      <c r="G1300" t="s">
        <v>497</v>
      </c>
    </row>
    <row r="1301" spans="1:9">
      <c r="A1301" s="178">
        <v>240</v>
      </c>
      <c r="B1301" s="178" t="s">
        <v>267</v>
      </c>
      <c r="C1301" s="178">
        <v>0</v>
      </c>
      <c r="D1301" s="178">
        <v>-4408.4</v>
      </c>
      <c r="E1301" s="178">
        <v>-4408.4</v>
      </c>
      <c r="F1301">
        <v>0</v>
      </c>
      <c r="G1301" t="s">
        <v>497</v>
      </c>
    </row>
    <row r="1302" spans="1:9">
      <c r="A1302" s="178">
        <v>250</v>
      </c>
      <c r="B1302" s="178" t="s">
        <v>268</v>
      </c>
      <c r="C1302" s="178">
        <v>2056.96</v>
      </c>
      <c r="D1302" s="178">
        <v>-36539.78</v>
      </c>
      <c r="E1302" s="178">
        <v>-34482.82</v>
      </c>
      <c r="F1302">
        <v>2056.96</v>
      </c>
      <c r="G1302" t="s">
        <v>497</v>
      </c>
    </row>
    <row r="1303" spans="1:9">
      <c r="A1303" s="178">
        <v>260</v>
      </c>
      <c r="B1303" s="178"/>
      <c r="C1303" s="178">
        <v>0</v>
      </c>
      <c r="D1303" s="178">
        <v>0</v>
      </c>
      <c r="E1303" s="178">
        <v>0</v>
      </c>
      <c r="F1303">
        <v>0</v>
      </c>
      <c r="G1303" t="s">
        <v>497</v>
      </c>
    </row>
    <row r="1304" spans="1:9">
      <c r="A1304" s="178">
        <v>270</v>
      </c>
      <c r="B1304" s="178" t="s">
        <v>269</v>
      </c>
      <c r="C1304" s="178">
        <v>-9344.57</v>
      </c>
      <c r="D1304" s="178">
        <v>-35444.6</v>
      </c>
      <c r="E1304" s="178">
        <v>-44789.17</v>
      </c>
      <c r="F1304">
        <v>-9344.57</v>
      </c>
      <c r="G1304" t="s">
        <v>497</v>
      </c>
    </row>
    <row r="1305" spans="1:9">
      <c r="A1305" s="178">
        <v>300</v>
      </c>
      <c r="B1305" s="178" t="s">
        <v>270</v>
      </c>
      <c r="C1305" s="178">
        <v>27590.13</v>
      </c>
      <c r="D1305" s="178">
        <v>16457.55</v>
      </c>
      <c r="E1305" s="178">
        <v>44047.68</v>
      </c>
      <c r="F1305">
        <v>27590.13</v>
      </c>
      <c r="G1305" t="s">
        <v>497</v>
      </c>
    </row>
    <row r="1306" spans="1:9">
      <c r="A1306" s="178">
        <v>310</v>
      </c>
      <c r="B1306" s="178" t="s">
        <v>631</v>
      </c>
      <c r="C1306" s="178">
        <v>0</v>
      </c>
      <c r="D1306" s="178">
        <v>0</v>
      </c>
      <c r="E1306" s="178">
        <v>0</v>
      </c>
      <c r="F1306">
        <v>0</v>
      </c>
      <c r="G1306" t="s">
        <v>497</v>
      </c>
    </row>
    <row r="1307" spans="1:9">
      <c r="A1307" s="178">
        <v>320</v>
      </c>
      <c r="B1307" s="178" t="s">
        <v>271</v>
      </c>
      <c r="C1307" s="178">
        <v>0</v>
      </c>
      <c r="D1307" s="178">
        <v>5421.37</v>
      </c>
      <c r="E1307" s="178">
        <v>5421.37</v>
      </c>
      <c r="F1307">
        <v>0</v>
      </c>
      <c r="G1307" t="s">
        <v>497</v>
      </c>
    </row>
    <row r="1308" spans="1:9">
      <c r="A1308" s="178">
        <v>325</v>
      </c>
      <c r="B1308" s="178" t="s">
        <v>272</v>
      </c>
      <c r="C1308" s="178">
        <v>-79076.37</v>
      </c>
      <c r="D1308" s="178">
        <v>101518.06</v>
      </c>
      <c r="E1308" s="178">
        <v>22441.69</v>
      </c>
      <c r="F1308">
        <v>-79076.37</v>
      </c>
      <c r="G1308" t="s">
        <v>497</v>
      </c>
    </row>
    <row r="1309" spans="1:9">
      <c r="A1309" s="178">
        <v>330</v>
      </c>
      <c r="B1309" s="178" t="s">
        <v>691</v>
      </c>
      <c r="C1309" s="178">
        <v>-230000</v>
      </c>
      <c r="D1309" s="178">
        <v>1693158.95</v>
      </c>
      <c r="E1309" s="178">
        <v>1463158.95</v>
      </c>
      <c r="F1309">
        <v>-230000</v>
      </c>
      <c r="G1309" t="s">
        <v>497</v>
      </c>
    </row>
    <row r="1310" spans="1:9">
      <c r="A1310" s="178">
        <v>340</v>
      </c>
      <c r="B1310" s="178" t="s">
        <v>633</v>
      </c>
      <c r="C1310" s="178">
        <v>66.45</v>
      </c>
      <c r="D1310" s="178">
        <v>38255.45</v>
      </c>
      <c r="E1310" s="178">
        <v>38321.9</v>
      </c>
      <c r="F1310">
        <v>66.45</v>
      </c>
      <c r="G1310" t="s">
        <v>497</v>
      </c>
    </row>
    <row r="1311" spans="1:9">
      <c r="A1311" s="178">
        <v>380</v>
      </c>
      <c r="B1311" s="178" t="s">
        <v>634</v>
      </c>
      <c r="C1311" s="178">
        <v>-303458.24</v>
      </c>
      <c r="D1311" s="178">
        <v>1767457.12</v>
      </c>
      <c r="E1311" s="178">
        <v>1463998.88</v>
      </c>
      <c r="F1311">
        <v>-303458.24</v>
      </c>
      <c r="G1311" t="s">
        <v>497</v>
      </c>
    </row>
    <row r="1312" spans="1:9">
      <c r="A1312" s="178">
        <v>390</v>
      </c>
      <c r="B1312" s="178" t="s">
        <v>273</v>
      </c>
      <c r="C1312" s="178">
        <v>0</v>
      </c>
      <c r="D1312" s="178">
        <v>0</v>
      </c>
      <c r="E1312" s="178">
        <v>0</v>
      </c>
      <c r="F1312">
        <v>0</v>
      </c>
      <c r="G1312" t="s">
        <v>497</v>
      </c>
    </row>
    <row r="1313" spans="1:9">
      <c r="A1313" s="178">
        <v>400</v>
      </c>
      <c r="B1313" s="178" t="s">
        <v>274</v>
      </c>
      <c r="C1313" s="178">
        <v>0</v>
      </c>
      <c r="D1313" s="178">
        <v>0</v>
      </c>
      <c r="E1313" s="178">
        <v>0</v>
      </c>
      <c r="F1313">
        <v>0</v>
      </c>
      <c r="G1313" t="s">
        <v>497</v>
      </c>
    </row>
    <row r="1314" spans="1:9">
      <c r="A1314" s="178">
        <v>405</v>
      </c>
      <c r="B1314" s="178" t="s">
        <v>275</v>
      </c>
      <c r="C1314" s="178">
        <v>0</v>
      </c>
      <c r="D1314" s="178">
        <v>216900</v>
      </c>
      <c r="E1314" s="178">
        <v>216900</v>
      </c>
      <c r="F1314">
        <v>0</v>
      </c>
      <c r="G1314" t="s">
        <v>497</v>
      </c>
    </row>
    <row r="1315" spans="1:9">
      <c r="A1315" s="178">
        <v>410</v>
      </c>
      <c r="B1315" s="178" t="s">
        <v>276</v>
      </c>
      <c r="C1315" s="178">
        <v>0</v>
      </c>
      <c r="D1315" s="178">
        <v>1000</v>
      </c>
      <c r="E1315" s="178">
        <v>1000</v>
      </c>
      <c r="F1315">
        <v>0</v>
      </c>
      <c r="G1315" t="s">
        <v>497</v>
      </c>
    </row>
    <row r="1316" spans="1:9">
      <c r="A1316" s="178">
        <v>420</v>
      </c>
      <c r="B1316" s="178" t="s">
        <v>277</v>
      </c>
      <c r="C1316" s="178">
        <v>0</v>
      </c>
      <c r="D1316" s="178">
        <v>0</v>
      </c>
      <c r="E1316" s="178">
        <v>0</v>
      </c>
      <c r="F1316">
        <v>0</v>
      </c>
      <c r="G1316" t="s">
        <v>497</v>
      </c>
    </row>
    <row r="1317" spans="1:9">
      <c r="A1317" s="178">
        <v>425</v>
      </c>
      <c r="B1317" s="178" t="s">
        <v>635</v>
      </c>
      <c r="C1317" s="178">
        <v>0</v>
      </c>
      <c r="D1317" s="178">
        <v>0</v>
      </c>
      <c r="E1317" s="178">
        <v>0</v>
      </c>
      <c r="F1317">
        <v>0</v>
      </c>
      <c r="G1317" t="s">
        <v>497</v>
      </c>
    </row>
    <row r="1318" spans="1:9">
      <c r="A1318" s="178">
        <v>427</v>
      </c>
      <c r="B1318" s="178" t="s">
        <v>636</v>
      </c>
      <c r="C1318" s="178">
        <v>0</v>
      </c>
      <c r="D1318" s="178">
        <v>0</v>
      </c>
      <c r="E1318" s="178">
        <v>0</v>
      </c>
      <c r="F1318">
        <v>0</v>
      </c>
      <c r="G1318" t="s">
        <v>497</v>
      </c>
    </row>
    <row r="1319" spans="1:9">
      <c r="A1319" s="178">
        <v>430</v>
      </c>
      <c r="B1319" s="178" t="s">
        <v>279</v>
      </c>
      <c r="C1319" s="178">
        <v>0</v>
      </c>
      <c r="D1319" s="178">
        <v>-1085500.29</v>
      </c>
      <c r="E1319" s="178">
        <v>-1085500.29</v>
      </c>
      <c r="F1319">
        <v>0</v>
      </c>
      <c r="G1319" t="s">
        <v>497</v>
      </c>
    </row>
    <row r="1320" spans="1:9">
      <c r="A1320" s="178">
        <v>440</v>
      </c>
      <c r="B1320" s="178" t="s">
        <v>280</v>
      </c>
      <c r="C1320" s="178">
        <v>0</v>
      </c>
      <c r="D1320" s="178">
        <v>-867600.29</v>
      </c>
      <c r="E1320" s="178">
        <v>-867600.29</v>
      </c>
      <c r="F1320">
        <v>0</v>
      </c>
      <c r="G1320" t="s">
        <v>497</v>
      </c>
    </row>
    <row r="1321" spans="1:9">
      <c r="A1321" s="178">
        <v>450</v>
      </c>
      <c r="B1321" s="178" t="s">
        <v>281</v>
      </c>
      <c r="C1321" s="178">
        <v>0</v>
      </c>
      <c r="D1321" s="178">
        <v>0</v>
      </c>
      <c r="E1321" s="178">
        <v>0</v>
      </c>
      <c r="F1321">
        <v>0</v>
      </c>
      <c r="G1321" t="s">
        <v>497</v>
      </c>
    </row>
    <row r="1322" spans="1:9">
      <c r="A1322" s="178">
        <v>455</v>
      </c>
      <c r="B1322" s="178" t="s">
        <v>282</v>
      </c>
      <c r="C1322" s="178">
        <v>0</v>
      </c>
      <c r="D1322" s="178">
        <v>0</v>
      </c>
      <c r="E1322" s="178">
        <v>0</v>
      </c>
      <c r="F1322">
        <v>0</v>
      </c>
      <c r="G1322" t="s">
        <v>497</v>
      </c>
    </row>
    <row r="1323" spans="1:9">
      <c r="A1323" s="178">
        <v>456</v>
      </c>
      <c r="B1323" s="178" t="s">
        <v>637</v>
      </c>
      <c r="C1323" s="178">
        <v>0</v>
      </c>
      <c r="D1323" s="178">
        <v>10663.87</v>
      </c>
      <c r="E1323" s="178">
        <v>10663.87</v>
      </c>
      <c r="F1323">
        <v>0</v>
      </c>
      <c r="G1323" t="s">
        <v>497</v>
      </c>
    </row>
    <row r="1324" spans="1:9">
      <c r="A1324" s="178">
        <v>460</v>
      </c>
      <c r="B1324" s="178" t="s">
        <v>283</v>
      </c>
      <c r="C1324" s="178">
        <v>0</v>
      </c>
      <c r="D1324" s="178">
        <v>-288122.84</v>
      </c>
      <c r="E1324" s="178">
        <v>-288122.84</v>
      </c>
      <c r="F1324">
        <v>0</v>
      </c>
      <c r="G1324" t="s">
        <v>497</v>
      </c>
    </row>
    <row r="1325" spans="1:9">
      <c r="A1325" s="178">
        <v>470</v>
      </c>
      <c r="B1325" s="178" t="s">
        <v>638</v>
      </c>
      <c r="C1325" s="178">
        <v>325.64</v>
      </c>
      <c r="D1325" s="178">
        <v>190434.78</v>
      </c>
      <c r="E1325" s="178">
        <v>190760.42</v>
      </c>
      <c r="F1325">
        <v>325.64</v>
      </c>
      <c r="G1325" t="s">
        <v>497</v>
      </c>
    </row>
    <row r="1326" spans="1:9">
      <c r="A1326" s="178">
        <v>480</v>
      </c>
      <c r="B1326" s="178" t="s">
        <v>284</v>
      </c>
      <c r="C1326" s="178">
        <v>0</v>
      </c>
      <c r="D1326" s="178">
        <v>-13041.23</v>
      </c>
      <c r="E1326" s="178">
        <v>-13041.23</v>
      </c>
      <c r="F1326">
        <v>0</v>
      </c>
      <c r="G1326" t="s">
        <v>497</v>
      </c>
    </row>
    <row r="1327" spans="1:9">
      <c r="A1327" s="178">
        <v>490</v>
      </c>
      <c r="B1327" s="178" t="s">
        <v>639</v>
      </c>
      <c r="C1327" s="178">
        <v>0</v>
      </c>
      <c r="D1327" s="178">
        <v>13221.78</v>
      </c>
      <c r="E1327" s="178">
        <v>13221.78</v>
      </c>
      <c r="F1327">
        <v>0</v>
      </c>
      <c r="G1327" t="s">
        <v>497</v>
      </c>
    </row>
    <row r="1328" spans="1:9">
      <c r="A1328" s="178">
        <v>500</v>
      </c>
      <c r="B1328" s="178" t="s">
        <v>285</v>
      </c>
      <c r="C1328" s="178">
        <v>0</v>
      </c>
      <c r="D1328" s="178">
        <v>0</v>
      </c>
      <c r="E1328" s="178">
        <v>0</v>
      </c>
      <c r="F1328">
        <v>0</v>
      </c>
      <c r="G1328" t="s">
        <v>497</v>
      </c>
    </row>
    <row r="1329" spans="1:9">
      <c r="A1329" s="178">
        <v>510</v>
      </c>
      <c r="B1329" s="178" t="s">
        <v>640</v>
      </c>
      <c r="C1329" s="178">
        <v>799.35</v>
      </c>
      <c r="D1329" s="178">
        <v>212576.55</v>
      </c>
      <c r="E1329" s="178">
        <v>213375.9</v>
      </c>
      <c r="F1329">
        <v>799.35</v>
      </c>
      <c r="G1329" t="s">
        <v>497</v>
      </c>
    </row>
    <row r="1330" spans="1:9">
      <c r="A1330" s="178">
        <v>512</v>
      </c>
      <c r="B1330" s="178" t="s">
        <v>286</v>
      </c>
      <c r="C1330" s="178">
        <v>0</v>
      </c>
      <c r="D1330" s="178">
        <v>0</v>
      </c>
      <c r="E1330" s="178">
        <v>0</v>
      </c>
      <c r="F1330">
        <v>0</v>
      </c>
      <c r="G1330" t="s">
        <v>497</v>
      </c>
    </row>
    <row r="1331" spans="1:9">
      <c r="A1331" s="178">
        <v>514</v>
      </c>
      <c r="B1331" s="178" t="s">
        <v>641</v>
      </c>
      <c r="C1331" s="178">
        <v>0</v>
      </c>
      <c r="D1331" s="178">
        <v>0</v>
      </c>
      <c r="E1331" s="178">
        <v>0</v>
      </c>
      <c r="F1331">
        <v>0</v>
      </c>
      <c r="G1331" t="s">
        <v>497</v>
      </c>
    </row>
    <row r="1332" spans="1:9">
      <c r="A1332" s="178">
        <v>520</v>
      </c>
      <c r="B1332" s="178" t="s">
        <v>642</v>
      </c>
      <c r="C1332" s="178">
        <v>0</v>
      </c>
      <c r="D1332" s="178">
        <v>-2930.52</v>
      </c>
      <c r="E1332" s="178">
        <v>-2930.52</v>
      </c>
      <c r="F1332">
        <v>0</v>
      </c>
      <c r="G1332" t="s">
        <v>497</v>
      </c>
    </row>
    <row r="1333" spans="1:9">
      <c r="A1333" s="178">
        <v>530</v>
      </c>
      <c r="B1333" s="178" t="s">
        <v>643</v>
      </c>
      <c r="C1333" s="178">
        <v>0</v>
      </c>
      <c r="D1333" s="178">
        <v>0</v>
      </c>
      <c r="E1333" s="178">
        <v>0</v>
      </c>
      <c r="F1333">
        <v>0</v>
      </c>
      <c r="G1333" t="s">
        <v>497</v>
      </c>
    </row>
    <row r="1334" spans="1:9">
      <c r="A1334" s="178">
        <v>540</v>
      </c>
      <c r="B1334" s="178" t="s">
        <v>644</v>
      </c>
      <c r="C1334" s="178">
        <v>0</v>
      </c>
      <c r="D1334" s="178">
        <v>-97000</v>
      </c>
      <c r="E1334" s="178">
        <v>-97000</v>
      </c>
      <c r="F1334">
        <v>0</v>
      </c>
      <c r="G1334" t="s">
        <v>497</v>
      </c>
    </row>
    <row r="1335" spans="1:9">
      <c r="A1335" s="178">
        <v>550</v>
      </c>
      <c r="B1335" s="178" t="s">
        <v>645</v>
      </c>
      <c r="C1335" s="178">
        <v>0</v>
      </c>
      <c r="D1335" s="178">
        <v>0</v>
      </c>
      <c r="E1335" s="178">
        <v>0</v>
      </c>
      <c r="F1335">
        <v>0</v>
      </c>
      <c r="G1335" t="s">
        <v>497</v>
      </c>
    </row>
    <row r="1336" spans="1:9">
      <c r="A1336" s="178">
        <v>560</v>
      </c>
      <c r="B1336" s="178" t="s">
        <v>646</v>
      </c>
      <c r="C1336" s="178">
        <v>0</v>
      </c>
      <c r="D1336" s="178">
        <v>-75000</v>
      </c>
      <c r="E1336" s="178">
        <v>-75000</v>
      </c>
      <c r="F1336">
        <v>0</v>
      </c>
      <c r="G1336" t="s">
        <v>497</v>
      </c>
    </row>
    <row r="1337" spans="1:9">
      <c r="A1337" s="178">
        <v>570</v>
      </c>
      <c r="B1337" s="178" t="s">
        <v>647</v>
      </c>
      <c r="C1337" s="178">
        <v>0</v>
      </c>
      <c r="D1337" s="178">
        <v>81006.12</v>
      </c>
      <c r="E1337" s="178">
        <v>81006.12</v>
      </c>
      <c r="F1337">
        <v>0</v>
      </c>
      <c r="G1337" t="s">
        <v>497</v>
      </c>
    </row>
    <row r="1338" spans="1:9">
      <c r="A1338" s="178">
        <v>580</v>
      </c>
      <c r="B1338" s="178" t="s">
        <v>290</v>
      </c>
      <c r="C1338" s="178">
        <v>0</v>
      </c>
      <c r="D1338" s="178">
        <v>0</v>
      </c>
      <c r="E1338" s="178">
        <v>0</v>
      </c>
      <c r="F1338">
        <v>0</v>
      </c>
      <c r="G1338" t="s">
        <v>497</v>
      </c>
    </row>
    <row r="1339" spans="1:9">
      <c r="A1339" s="178">
        <v>590</v>
      </c>
      <c r="B1339" s="178" t="s">
        <v>648</v>
      </c>
      <c r="C1339" s="178">
        <v>0</v>
      </c>
      <c r="D1339" s="178">
        <v>0</v>
      </c>
      <c r="E1339" s="178">
        <v>0</v>
      </c>
      <c r="F1339">
        <v>0</v>
      </c>
      <c r="G1339" t="s">
        <v>497</v>
      </c>
    </row>
    <row r="1340" spans="1:9">
      <c r="A1340" s="178">
        <v>600</v>
      </c>
      <c r="B1340" s="178" t="s">
        <v>291</v>
      </c>
      <c r="C1340" s="178">
        <v>0</v>
      </c>
      <c r="D1340" s="178">
        <v>-444578.11</v>
      </c>
      <c r="E1340" s="178">
        <v>-444578.11</v>
      </c>
      <c r="F1340">
        <v>0</v>
      </c>
      <c r="G1340" t="s">
        <v>497</v>
      </c>
    </row>
    <row r="1341" spans="1:9">
      <c r="A1341" s="178">
        <v>610</v>
      </c>
      <c r="B1341" s="178" t="s">
        <v>649</v>
      </c>
      <c r="C1341" s="178">
        <v>0</v>
      </c>
      <c r="D1341" s="178">
        <v>4877.16</v>
      </c>
      <c r="E1341" s="178">
        <v>4877.16</v>
      </c>
      <c r="F1341">
        <v>0</v>
      </c>
      <c r="G1341" t="s">
        <v>497</v>
      </c>
    </row>
    <row r="1342" spans="1:9">
      <c r="A1342" s="178">
        <v>615</v>
      </c>
      <c r="B1342" s="178" t="s">
        <v>674</v>
      </c>
      <c r="C1342" s="178">
        <v>0</v>
      </c>
      <c r="D1342" s="178">
        <v>-141511.09</v>
      </c>
      <c r="E1342" s="178">
        <v>-141511.09</v>
      </c>
      <c r="F1342">
        <v>0</v>
      </c>
      <c r="G1342" t="s">
        <v>497</v>
      </c>
    </row>
    <row r="1343" spans="1:9">
      <c r="A1343" s="178">
        <v>620</v>
      </c>
      <c r="B1343" s="178" t="s">
        <v>292</v>
      </c>
      <c r="C1343" s="178">
        <v>0</v>
      </c>
      <c r="D1343" s="178">
        <v>0</v>
      </c>
      <c r="E1343" s="178">
        <v>0</v>
      </c>
      <c r="F1343">
        <v>0</v>
      </c>
      <c r="G1343" t="s">
        <v>497</v>
      </c>
    </row>
    <row r="1344" spans="1:9">
      <c r="A1344" s="178">
        <v>630</v>
      </c>
      <c r="B1344" s="178" t="s">
        <v>293</v>
      </c>
      <c r="C1344" s="178">
        <v>0</v>
      </c>
      <c r="D1344" s="178">
        <v>-56769</v>
      </c>
      <c r="E1344" s="178">
        <v>-56769</v>
      </c>
      <c r="F1344">
        <v>0</v>
      </c>
      <c r="G1344" t="s">
        <v>497</v>
      </c>
    </row>
    <row r="1345" spans="1:9">
      <c r="A1345" s="178">
        <v>635</v>
      </c>
      <c r="B1345" s="178" t="s">
        <v>675</v>
      </c>
      <c r="C1345" s="178">
        <v>0</v>
      </c>
      <c r="D1345" s="178">
        <v>-13041.23</v>
      </c>
      <c r="E1345" s="178">
        <v>-13041.23</v>
      </c>
      <c r="F1345">
        <v>0</v>
      </c>
      <c r="G1345" t="s">
        <v>497</v>
      </c>
    </row>
    <row r="1346" spans="1:9">
      <c r="A1346" s="178">
        <v>640</v>
      </c>
      <c r="B1346" s="178" t="s">
        <v>294</v>
      </c>
      <c r="C1346" s="178">
        <v>1124.99</v>
      </c>
      <c r="D1346" s="178">
        <v>-619213.76</v>
      </c>
      <c r="E1346" s="178">
        <v>-618088.77</v>
      </c>
      <c r="F1346">
        <v>1124.99</v>
      </c>
      <c r="G1346" t="s">
        <v>497</v>
      </c>
    </row>
    <row r="1347" spans="1:9">
      <c r="A1347" s="178">
        <v>650</v>
      </c>
      <c r="B1347" s="178" t="s">
        <v>295</v>
      </c>
      <c r="C1347" s="178">
        <v>-286786.16</v>
      </c>
      <c r="D1347" s="178">
        <v>280643.07</v>
      </c>
      <c r="E1347" s="178">
        <v>-6143.09</v>
      </c>
      <c r="F1347">
        <v>-286786.16</v>
      </c>
      <c r="G1347" t="s">
        <v>497</v>
      </c>
    </row>
    <row r="1348" spans="1:9">
      <c r="A1348" s="178" t="s">
        <v>476</v>
      </c>
      <c r="B1348" s="178" t="s">
        <v>402</v>
      </c>
      <c r="C1348" s="178" t="s">
        <v>609</v>
      </c>
      <c r="D1348" s="178" t="s">
        <v>610</v>
      </c>
      <c r="E1348" s="178" t="s">
        <v>611</v>
      </c>
      <c r="F1348" t="s">
        <v>612</v>
      </c>
      <c r="G1348" t="s">
        <v>405</v>
      </c>
    </row>
    <row r="1349" spans="1:9">
      <c r="A1349" s="178">
        <v>10</v>
      </c>
      <c r="B1349" s="178" t="s">
        <v>613</v>
      </c>
      <c r="C1349" s="178">
        <v>0</v>
      </c>
      <c r="D1349" s="178">
        <v>0</v>
      </c>
      <c r="E1349" s="178">
        <v>0</v>
      </c>
      <c r="F1349">
        <v>0</v>
      </c>
      <c r="G1349" t="s">
        <v>497</v>
      </c>
    </row>
    <row r="1350" spans="1:9">
      <c r="A1350" s="178">
        <v>20</v>
      </c>
      <c r="B1350" s="178" t="s">
        <v>406</v>
      </c>
      <c r="C1350" s="178">
        <v>605912.84</v>
      </c>
      <c r="D1350" s="178">
        <v>0</v>
      </c>
      <c r="E1350" s="178">
        <v>605912.84</v>
      </c>
      <c r="F1350">
        <v>605912.84</v>
      </c>
      <c r="G1350" t="s">
        <v>497</v>
      </c>
    </row>
    <row r="1351" spans="1:9">
      <c r="A1351" s="178">
        <v>30</v>
      </c>
      <c r="B1351" s="178" t="s">
        <v>614</v>
      </c>
      <c r="C1351" s="178">
        <v>589.31</v>
      </c>
      <c r="D1351" s="178">
        <v>0</v>
      </c>
      <c r="E1351" s="178">
        <v>589.31</v>
      </c>
      <c r="F1351">
        <v>589.31</v>
      </c>
      <c r="G1351" t="s">
        <v>497</v>
      </c>
    </row>
    <row r="1352" spans="1:9">
      <c r="A1352" s="178">
        <v>35</v>
      </c>
      <c r="B1352" s="178" t="s">
        <v>615</v>
      </c>
      <c r="C1352" s="178">
        <v>605323.53</v>
      </c>
      <c r="D1352" s="178">
        <v>0</v>
      </c>
      <c r="E1352" s="178">
        <v>605323.53</v>
      </c>
      <c r="F1352">
        <v>605323.53</v>
      </c>
      <c r="G1352" t="s">
        <v>497</v>
      </c>
    </row>
    <row r="1353" spans="1:9">
      <c r="A1353" s="178">
        <v>40</v>
      </c>
      <c r="B1353" s="178" t="s">
        <v>616</v>
      </c>
      <c r="C1353" s="178">
        <v>349627.66</v>
      </c>
      <c r="D1353" s="178">
        <v>0</v>
      </c>
      <c r="E1353" s="178">
        <v>349627.66</v>
      </c>
      <c r="F1353">
        <v>349627.66</v>
      </c>
      <c r="G1353" t="s">
        <v>497</v>
      </c>
    </row>
    <row r="1354" spans="1:9">
      <c r="A1354" s="178">
        <v>50</v>
      </c>
      <c r="B1354" s="178" t="s">
        <v>617</v>
      </c>
      <c r="C1354" s="178">
        <v>0</v>
      </c>
      <c r="D1354" s="178">
        <v>0</v>
      </c>
      <c r="E1354" s="178">
        <v>0</v>
      </c>
      <c r="F1354">
        <v>0</v>
      </c>
      <c r="G1354" t="s">
        <v>497</v>
      </c>
    </row>
    <row r="1355" spans="1:9">
      <c r="A1355" s="178">
        <v>60</v>
      </c>
      <c r="B1355" s="178" t="s">
        <v>618</v>
      </c>
      <c r="C1355" s="178">
        <v>255695.87</v>
      </c>
      <c r="D1355" s="178">
        <v>0</v>
      </c>
      <c r="E1355" s="178">
        <v>255695.87</v>
      </c>
      <c r="F1355">
        <v>255695.87</v>
      </c>
      <c r="G1355" t="s">
        <v>497</v>
      </c>
    </row>
    <row r="1356" spans="1:9">
      <c r="A1356" s="178">
        <v>70</v>
      </c>
      <c r="B1356" s="178" t="s">
        <v>412</v>
      </c>
      <c r="C1356" s="178">
        <v>218501.99</v>
      </c>
      <c r="D1356" s="178">
        <v>0</v>
      </c>
      <c r="E1356" s="178">
        <v>218501.99</v>
      </c>
      <c r="F1356">
        <v>218501.99</v>
      </c>
      <c r="G1356" t="s">
        <v>497</v>
      </c>
    </row>
    <row r="1357" spans="1:9">
      <c r="A1357" s="178">
        <v>80</v>
      </c>
      <c r="B1357" s="178" t="s">
        <v>413</v>
      </c>
      <c r="C1357" s="178">
        <v>12149.26</v>
      </c>
      <c r="D1357" s="178">
        <v>0</v>
      </c>
      <c r="E1357" s="178">
        <v>12149.26</v>
      </c>
      <c r="F1357">
        <v>12149.26</v>
      </c>
      <c r="G1357" t="s">
        <v>497</v>
      </c>
    </row>
    <row r="1358" spans="1:9">
      <c r="A1358" s="178">
        <v>90</v>
      </c>
      <c r="B1358" s="178" t="s">
        <v>619</v>
      </c>
      <c r="C1358" s="178">
        <v>6063.4</v>
      </c>
      <c r="D1358" s="178">
        <v>0</v>
      </c>
      <c r="E1358" s="178">
        <v>6063.4</v>
      </c>
      <c r="F1358">
        <v>6063.4</v>
      </c>
      <c r="G1358" t="s">
        <v>497</v>
      </c>
    </row>
    <row r="1359" spans="1:9">
      <c r="A1359" s="178">
        <v>100</v>
      </c>
      <c r="B1359" s="178" t="s">
        <v>620</v>
      </c>
      <c r="C1359" s="178">
        <v>18981.22</v>
      </c>
      <c r="D1359" s="178">
        <v>0</v>
      </c>
      <c r="E1359" s="178">
        <v>18981.22</v>
      </c>
      <c r="F1359">
        <v>18981.22</v>
      </c>
      <c r="G1359" t="s">
        <v>497</v>
      </c>
    </row>
    <row r="1360" spans="1:9">
      <c r="A1360" s="178">
        <v>110</v>
      </c>
      <c r="B1360" s="178" t="s">
        <v>621</v>
      </c>
      <c r="C1360" s="178">
        <v>0</v>
      </c>
      <c r="D1360" s="178">
        <v>0</v>
      </c>
      <c r="E1360" s="178">
        <v>0</v>
      </c>
      <c r="F1360">
        <v>0</v>
      </c>
      <c r="G1360" t="s">
        <v>497</v>
      </c>
    </row>
    <row r="1361" spans="1:9">
      <c r="A1361" s="178">
        <v>120</v>
      </c>
      <c r="B1361" s="178" t="s">
        <v>622</v>
      </c>
      <c r="C1361" s="178">
        <v>-4149.3</v>
      </c>
      <c r="D1361" s="178">
        <v>0</v>
      </c>
      <c r="E1361" s="178">
        <v>-4149.3</v>
      </c>
      <c r="F1361">
        <v>-4149.3</v>
      </c>
      <c r="G1361" t="s">
        <v>497</v>
      </c>
    </row>
    <row r="1362" spans="1:9">
      <c r="A1362" s="178">
        <v>130</v>
      </c>
      <c r="B1362" s="178" t="s">
        <v>623</v>
      </c>
      <c r="C1362" s="178">
        <v>0</v>
      </c>
      <c r="D1362" s="178">
        <v>0</v>
      </c>
      <c r="E1362" s="178">
        <v>0</v>
      </c>
      <c r="F1362">
        <v>0</v>
      </c>
      <c r="G1362" t="s">
        <v>497</v>
      </c>
    </row>
    <row r="1363" spans="1:9">
      <c r="A1363" s="178">
        <v>140</v>
      </c>
      <c r="B1363" s="178" t="s">
        <v>624</v>
      </c>
      <c r="C1363" s="178">
        <v>0</v>
      </c>
      <c r="D1363" s="178">
        <v>0</v>
      </c>
      <c r="E1363" s="178">
        <v>0</v>
      </c>
      <c r="F1363">
        <v>0</v>
      </c>
      <c r="G1363" t="s">
        <v>497</v>
      </c>
    </row>
    <row r="1364" spans="1:9">
      <c r="A1364" s="178">
        <v>145</v>
      </c>
      <c r="B1364" s="178" t="s">
        <v>422</v>
      </c>
      <c r="C1364" s="178">
        <v>-4149.3</v>
      </c>
      <c r="D1364" s="178">
        <v>0</v>
      </c>
      <c r="E1364" s="178">
        <v>-4149.3</v>
      </c>
      <c r="F1364">
        <v>-4149.3</v>
      </c>
      <c r="G1364" t="s">
        <v>497</v>
      </c>
    </row>
    <row r="1365" spans="1:9">
      <c r="A1365" s="178">
        <v>150</v>
      </c>
      <c r="B1365" s="178" t="s">
        <v>625</v>
      </c>
      <c r="C1365" s="178">
        <v>23130.52</v>
      </c>
      <c r="D1365" s="178">
        <v>0</v>
      </c>
      <c r="E1365" s="178">
        <v>23130.52</v>
      </c>
      <c r="F1365">
        <v>23130.52</v>
      </c>
      <c r="G1365" t="s">
        <v>497</v>
      </c>
    </row>
    <row r="1366" spans="1:9">
      <c r="A1366" s="178">
        <v>160</v>
      </c>
      <c r="B1366" s="178" t="s">
        <v>626</v>
      </c>
      <c r="C1366" s="178">
        <v>0</v>
      </c>
      <c r="D1366" s="178">
        <v>0</v>
      </c>
      <c r="E1366" s="178">
        <v>0</v>
      </c>
      <c r="F1366">
        <v>0</v>
      </c>
      <c r="G1366" t="s">
        <v>497</v>
      </c>
    </row>
    <row r="1367" spans="1:9">
      <c r="A1367" s="178">
        <v>170</v>
      </c>
      <c r="B1367" s="178" t="s">
        <v>426</v>
      </c>
      <c r="C1367" s="178">
        <v>23130.52</v>
      </c>
      <c r="D1367" s="178">
        <v>0</v>
      </c>
      <c r="E1367" s="178">
        <v>23130.52</v>
      </c>
      <c r="F1367">
        <v>23130.52</v>
      </c>
      <c r="G1367" t="s">
        <v>497</v>
      </c>
    </row>
    <row r="1368" spans="1:9">
      <c r="A1368" s="178">
        <v>190</v>
      </c>
      <c r="B1368" s="178" t="s">
        <v>627</v>
      </c>
      <c r="C1368" s="178">
        <v>0</v>
      </c>
      <c r="D1368" s="178">
        <v>0</v>
      </c>
      <c r="E1368" s="178">
        <v>0</v>
      </c>
      <c r="F1368">
        <v>0</v>
      </c>
      <c r="G1368" t="s">
        <v>497</v>
      </c>
    </row>
    <row r="1369" spans="1:9">
      <c r="A1369" s="178">
        <v>200</v>
      </c>
      <c r="B1369" s="178" t="s">
        <v>426</v>
      </c>
      <c r="C1369" s="178">
        <v>23130.52</v>
      </c>
      <c r="D1369" s="178">
        <v>0</v>
      </c>
      <c r="E1369" s="178">
        <v>23130.52</v>
      </c>
      <c r="F1369">
        <v>23130.52</v>
      </c>
      <c r="G1369" t="s">
        <v>497</v>
      </c>
    </row>
    <row r="1370" spans="1:9">
      <c r="A1370" s="178">
        <v>210</v>
      </c>
      <c r="B1370" s="178" t="s">
        <v>264</v>
      </c>
      <c r="C1370" s="178">
        <v>23130.52</v>
      </c>
      <c r="D1370" s="178">
        <v>0</v>
      </c>
      <c r="E1370" s="178">
        <v>23130.52</v>
      </c>
      <c r="F1370">
        <v>23130.52</v>
      </c>
      <c r="G1370" t="s">
        <v>497</v>
      </c>
    </row>
    <row r="1371" spans="1:9">
      <c r="A1371" s="178">
        <v>220</v>
      </c>
      <c r="B1371" s="178" t="s">
        <v>628</v>
      </c>
      <c r="C1371" s="178">
        <v>0</v>
      </c>
      <c r="D1371" s="178">
        <v>0</v>
      </c>
      <c r="E1371" s="178">
        <v>0</v>
      </c>
      <c r="F1371">
        <v>0</v>
      </c>
      <c r="G1371" t="s">
        <v>497</v>
      </c>
    </row>
    <row r="1372" spans="1:9">
      <c r="A1372" s="178">
        <v>230</v>
      </c>
      <c r="B1372" s="178" t="s">
        <v>266</v>
      </c>
      <c r="C1372" s="178">
        <v>3386.32</v>
      </c>
      <c r="D1372" s="178">
        <v>-133914.64</v>
      </c>
      <c r="E1372" s="178">
        <v>-130528.32</v>
      </c>
      <c r="F1372">
        <v>3386.32</v>
      </c>
      <c r="G1372" t="s">
        <v>497</v>
      </c>
    </row>
    <row r="1373" spans="1:9">
      <c r="A1373" s="178">
        <v>235</v>
      </c>
      <c r="B1373" s="178" t="s">
        <v>629</v>
      </c>
      <c r="C1373" s="178">
        <v>0</v>
      </c>
      <c r="D1373" s="178">
        <v>0</v>
      </c>
      <c r="E1373" s="178">
        <v>0</v>
      </c>
      <c r="F1373">
        <v>0</v>
      </c>
      <c r="G1373" t="s">
        <v>497</v>
      </c>
    </row>
    <row r="1374" spans="1:9">
      <c r="A1374" s="178">
        <v>240</v>
      </c>
      <c r="B1374" s="178" t="s">
        <v>267</v>
      </c>
      <c r="C1374" s="178">
        <v>0</v>
      </c>
      <c r="D1374" s="178">
        <v>0</v>
      </c>
      <c r="E1374" s="178">
        <v>0</v>
      </c>
      <c r="F1374">
        <v>0</v>
      </c>
      <c r="G1374" t="s">
        <v>497</v>
      </c>
    </row>
    <row r="1375" spans="1:9">
      <c r="A1375" s="178">
        <v>250</v>
      </c>
      <c r="B1375" s="178" t="s">
        <v>268</v>
      </c>
      <c r="C1375" s="178">
        <v>3576.84</v>
      </c>
      <c r="D1375" s="178">
        <v>-53780.52</v>
      </c>
      <c r="E1375" s="178">
        <v>-50203.68</v>
      </c>
      <c r="F1375">
        <v>3576.84</v>
      </c>
      <c r="G1375" t="s">
        <v>497</v>
      </c>
    </row>
    <row r="1376" spans="1:9">
      <c r="A1376" s="178">
        <v>260</v>
      </c>
      <c r="B1376" s="178"/>
      <c r="C1376" s="178">
        <v>0</v>
      </c>
      <c r="D1376" s="178">
        <v>0</v>
      </c>
      <c r="E1376" s="178">
        <v>0</v>
      </c>
      <c r="F1376">
        <v>0</v>
      </c>
      <c r="G1376" t="s">
        <v>497</v>
      </c>
    </row>
    <row r="1377" spans="1:9">
      <c r="A1377" s="178">
        <v>270</v>
      </c>
      <c r="B1377" s="178" t="s">
        <v>269</v>
      </c>
      <c r="C1377" s="178">
        <v>-12094.04</v>
      </c>
      <c r="D1377" s="178">
        <v>-28069.75</v>
      </c>
      <c r="E1377" s="178">
        <v>-40163.79</v>
      </c>
      <c r="F1377">
        <v>-12094.04</v>
      </c>
      <c r="G1377" t="s">
        <v>497</v>
      </c>
    </row>
    <row r="1378" spans="1:9">
      <c r="A1378" s="178">
        <v>300</v>
      </c>
      <c r="B1378" s="178" t="s">
        <v>270</v>
      </c>
      <c r="C1378" s="178">
        <v>-16707.91</v>
      </c>
      <c r="D1378" s="178">
        <v>27602.16</v>
      </c>
      <c r="E1378" s="178">
        <v>10894.25</v>
      </c>
      <c r="F1378">
        <v>-16707.91</v>
      </c>
      <c r="G1378" t="s">
        <v>497</v>
      </c>
    </row>
    <row r="1379" spans="1:9">
      <c r="A1379" s="178">
        <v>310</v>
      </c>
      <c r="B1379" s="178" t="s">
        <v>631</v>
      </c>
      <c r="C1379" s="178">
        <v>0</v>
      </c>
      <c r="D1379" s="178">
        <v>0</v>
      </c>
      <c r="E1379" s="178">
        <v>0</v>
      </c>
      <c r="F1379">
        <v>0</v>
      </c>
      <c r="G1379" t="s">
        <v>497</v>
      </c>
    </row>
    <row r="1380" spans="1:9">
      <c r="A1380" s="178">
        <v>320</v>
      </c>
      <c r="B1380" s="178" t="s">
        <v>271</v>
      </c>
      <c r="C1380" s="178">
        <v>0</v>
      </c>
      <c r="D1380" s="178">
        <v>260.83</v>
      </c>
      <c r="E1380" s="178">
        <v>260.83</v>
      </c>
      <c r="F1380">
        <v>0</v>
      </c>
      <c r="G1380" t="s">
        <v>497</v>
      </c>
    </row>
    <row r="1381" spans="1:9">
      <c r="A1381" s="178">
        <v>325</v>
      </c>
      <c r="B1381" s="178" t="s">
        <v>272</v>
      </c>
      <c r="C1381" s="178">
        <v>33393.25</v>
      </c>
      <c r="D1381" s="178">
        <v>59653.22</v>
      </c>
      <c r="E1381" s="178">
        <v>93046.47</v>
      </c>
      <c r="F1381">
        <v>33393.25</v>
      </c>
      <c r="G1381" t="s">
        <v>497</v>
      </c>
    </row>
    <row r="1382" spans="1:9">
      <c r="A1382" s="178">
        <v>330</v>
      </c>
      <c r="B1382" s="178" t="s">
        <v>691</v>
      </c>
      <c r="C1382" s="178">
        <v>-506000</v>
      </c>
      <c r="D1382" s="178">
        <v>6863995.68</v>
      </c>
      <c r="E1382" s="178">
        <v>6357995.68</v>
      </c>
      <c r="F1382">
        <v>-506000</v>
      </c>
      <c r="G1382" t="s">
        <v>497</v>
      </c>
    </row>
    <row r="1383" spans="1:9">
      <c r="A1383" s="178">
        <v>340</v>
      </c>
      <c r="B1383" s="178" t="s">
        <v>633</v>
      </c>
      <c r="C1383" s="178">
        <v>8537.55</v>
      </c>
      <c r="D1383" s="178">
        <v>48021.1</v>
      </c>
      <c r="E1383" s="178">
        <v>56558.65</v>
      </c>
      <c r="F1383">
        <v>8537.55</v>
      </c>
      <c r="G1383" t="s">
        <v>497</v>
      </c>
    </row>
    <row r="1384" spans="1:9">
      <c r="A1384" s="178">
        <v>380</v>
      </c>
      <c r="B1384" s="178" t="s">
        <v>634</v>
      </c>
      <c r="C1384" s="178">
        <v>-485907.99</v>
      </c>
      <c r="D1384" s="178">
        <v>6783768.08</v>
      </c>
      <c r="E1384" s="178">
        <v>6297860.09</v>
      </c>
      <c r="F1384">
        <v>-485907.99</v>
      </c>
      <c r="G1384" t="s">
        <v>497</v>
      </c>
    </row>
    <row r="1385" spans="1:9">
      <c r="A1385" s="178">
        <v>390</v>
      </c>
      <c r="B1385" s="178" t="s">
        <v>273</v>
      </c>
      <c r="C1385" s="178">
        <v>0</v>
      </c>
      <c r="D1385" s="178">
        <v>0</v>
      </c>
      <c r="E1385" s="178">
        <v>0</v>
      </c>
      <c r="F1385">
        <v>0</v>
      </c>
      <c r="G1385" t="s">
        <v>497</v>
      </c>
    </row>
    <row r="1386" spans="1:9">
      <c r="A1386" s="178">
        <v>400</v>
      </c>
      <c r="B1386" s="178" t="s">
        <v>274</v>
      </c>
      <c r="C1386" s="178">
        <v>0</v>
      </c>
      <c r="D1386" s="178">
        <v>482500</v>
      </c>
      <c r="E1386" s="178">
        <v>482500</v>
      </c>
      <c r="F1386">
        <v>0</v>
      </c>
      <c r="G1386" t="s">
        <v>497</v>
      </c>
    </row>
    <row r="1387" spans="1:9">
      <c r="A1387" s="178">
        <v>405</v>
      </c>
      <c r="B1387" s="178" t="s">
        <v>275</v>
      </c>
      <c r="C1387" s="178">
        <v>0</v>
      </c>
      <c r="D1387" s="178">
        <v>0</v>
      </c>
      <c r="E1387" s="178">
        <v>0</v>
      </c>
      <c r="F1387">
        <v>0</v>
      </c>
      <c r="G1387" t="s">
        <v>497</v>
      </c>
    </row>
    <row r="1388" spans="1:9">
      <c r="A1388" s="178">
        <v>410</v>
      </c>
      <c r="B1388" s="178" t="s">
        <v>276</v>
      </c>
      <c r="C1388" s="178">
        <v>0</v>
      </c>
      <c r="D1388" s="178">
        <v>1000</v>
      </c>
      <c r="E1388" s="178">
        <v>1000</v>
      </c>
      <c r="F1388">
        <v>0</v>
      </c>
      <c r="G1388" t="s">
        <v>497</v>
      </c>
    </row>
    <row r="1389" spans="1:9">
      <c r="A1389" s="178">
        <v>420</v>
      </c>
      <c r="B1389" s="178" t="s">
        <v>277</v>
      </c>
      <c r="C1389" s="178">
        <v>0</v>
      </c>
      <c r="D1389" s="178">
        <v>0</v>
      </c>
      <c r="E1389" s="178">
        <v>0</v>
      </c>
      <c r="F1389">
        <v>0</v>
      </c>
      <c r="G1389" t="s">
        <v>497</v>
      </c>
    </row>
    <row r="1390" spans="1:9">
      <c r="A1390" s="178">
        <v>425</v>
      </c>
      <c r="B1390" s="178" t="s">
        <v>635</v>
      </c>
      <c r="C1390" s="178">
        <v>0</v>
      </c>
      <c r="D1390" s="178">
        <v>0</v>
      </c>
      <c r="E1390" s="178">
        <v>0</v>
      </c>
      <c r="F1390">
        <v>0</v>
      </c>
      <c r="G1390" t="s">
        <v>497</v>
      </c>
    </row>
    <row r="1391" spans="1:9">
      <c r="A1391" s="178">
        <v>427</v>
      </c>
      <c r="B1391" s="178" t="s">
        <v>636</v>
      </c>
      <c r="C1391" s="178">
        <v>0</v>
      </c>
      <c r="D1391" s="178">
        <v>0</v>
      </c>
      <c r="E1391" s="178">
        <v>0</v>
      </c>
      <c r="F1391">
        <v>0</v>
      </c>
      <c r="G1391" t="s">
        <v>497</v>
      </c>
    </row>
    <row r="1392" spans="1:9">
      <c r="A1392" s="178">
        <v>430</v>
      </c>
      <c r="B1392" s="178" t="s">
        <v>279</v>
      </c>
      <c r="C1392" s="178">
        <v>0</v>
      </c>
      <c r="D1392" s="178">
        <v>-3219678.99</v>
      </c>
      <c r="E1392" s="178">
        <v>-3219678.99</v>
      </c>
      <c r="F1392">
        <v>0</v>
      </c>
      <c r="G1392" t="s">
        <v>497</v>
      </c>
    </row>
    <row r="1393" spans="1:9">
      <c r="A1393" s="178">
        <v>440</v>
      </c>
      <c r="B1393" s="178" t="s">
        <v>280</v>
      </c>
      <c r="C1393" s="178">
        <v>0</v>
      </c>
      <c r="D1393" s="178">
        <v>-2736178.99</v>
      </c>
      <c r="E1393" s="178">
        <v>-2736178.99</v>
      </c>
      <c r="F1393">
        <v>0</v>
      </c>
      <c r="G1393" t="s">
        <v>497</v>
      </c>
    </row>
    <row r="1394" spans="1:9">
      <c r="A1394" s="178">
        <v>450</v>
      </c>
      <c r="B1394" s="178" t="s">
        <v>281</v>
      </c>
      <c r="C1394" s="178">
        <v>0</v>
      </c>
      <c r="D1394" s="178">
        <v>0</v>
      </c>
      <c r="E1394" s="178">
        <v>0</v>
      </c>
      <c r="F1394">
        <v>0</v>
      </c>
      <c r="G1394" t="s">
        <v>497</v>
      </c>
    </row>
    <row r="1395" spans="1:9">
      <c r="A1395" s="178">
        <v>455</v>
      </c>
      <c r="B1395" s="178" t="s">
        <v>282</v>
      </c>
      <c r="C1395" s="178">
        <v>0</v>
      </c>
      <c r="D1395" s="178">
        <v>-602171</v>
      </c>
      <c r="E1395" s="178">
        <v>-602171</v>
      </c>
      <c r="F1395">
        <v>0</v>
      </c>
      <c r="G1395" t="s">
        <v>497</v>
      </c>
    </row>
    <row r="1396" spans="1:9">
      <c r="A1396" s="178">
        <v>456</v>
      </c>
      <c r="B1396" s="178" t="s">
        <v>637</v>
      </c>
      <c r="C1396" s="178">
        <v>0</v>
      </c>
      <c r="D1396" s="178">
        <v>426817.44</v>
      </c>
      <c r="E1396" s="178">
        <v>426817.44</v>
      </c>
      <c r="F1396">
        <v>0</v>
      </c>
      <c r="G1396" t="s">
        <v>497</v>
      </c>
    </row>
    <row r="1397" spans="1:9">
      <c r="A1397" s="178">
        <v>460</v>
      </c>
      <c r="B1397" s="178" t="s">
        <v>283</v>
      </c>
      <c r="C1397" s="178">
        <v>0</v>
      </c>
      <c r="D1397" s="178">
        <v>-1443958.17</v>
      </c>
      <c r="E1397" s="178">
        <v>-1443958.17</v>
      </c>
      <c r="F1397">
        <v>0</v>
      </c>
      <c r="G1397" t="s">
        <v>497</v>
      </c>
    </row>
    <row r="1398" spans="1:9">
      <c r="A1398" s="178">
        <v>470</v>
      </c>
      <c r="B1398" s="178" t="s">
        <v>638</v>
      </c>
      <c r="C1398" s="178">
        <v>5063.44</v>
      </c>
      <c r="D1398" s="178">
        <v>1260158.44</v>
      </c>
      <c r="E1398" s="178">
        <v>1265221.88</v>
      </c>
      <c r="F1398">
        <v>5063.44</v>
      </c>
      <c r="G1398" t="s">
        <v>497</v>
      </c>
    </row>
    <row r="1399" spans="1:9">
      <c r="A1399" s="178">
        <v>480</v>
      </c>
      <c r="B1399" s="178" t="s">
        <v>284</v>
      </c>
      <c r="C1399" s="178">
        <v>0</v>
      </c>
      <c r="D1399" s="178">
        <v>0</v>
      </c>
      <c r="E1399" s="178">
        <v>0</v>
      </c>
      <c r="F1399">
        <v>0</v>
      </c>
      <c r="G1399" t="s">
        <v>497</v>
      </c>
    </row>
    <row r="1400" spans="1:9">
      <c r="A1400" s="178">
        <v>490</v>
      </c>
      <c r="B1400" s="178" t="s">
        <v>639</v>
      </c>
      <c r="C1400" s="178">
        <v>0</v>
      </c>
      <c r="D1400" s="178">
        <v>0</v>
      </c>
      <c r="E1400" s="178">
        <v>0</v>
      </c>
      <c r="F1400">
        <v>0</v>
      </c>
      <c r="G1400" t="s">
        <v>497</v>
      </c>
    </row>
    <row r="1401" spans="1:9">
      <c r="A1401" s="178">
        <v>500</v>
      </c>
      <c r="B1401" s="178" t="s">
        <v>285</v>
      </c>
      <c r="C1401" s="178">
        <v>0</v>
      </c>
      <c r="D1401" s="178">
        <v>0</v>
      </c>
      <c r="E1401" s="178">
        <v>0</v>
      </c>
      <c r="F1401">
        <v>0</v>
      </c>
      <c r="G1401" t="s">
        <v>497</v>
      </c>
    </row>
    <row r="1402" spans="1:9">
      <c r="A1402" s="178">
        <v>510</v>
      </c>
      <c r="B1402" s="178" t="s">
        <v>640</v>
      </c>
      <c r="C1402" s="178">
        <v>0</v>
      </c>
      <c r="D1402" s="178">
        <v>0</v>
      </c>
      <c r="E1402" s="178">
        <v>0</v>
      </c>
      <c r="F1402">
        <v>0</v>
      </c>
      <c r="G1402" t="s">
        <v>497</v>
      </c>
    </row>
    <row r="1403" spans="1:9">
      <c r="A1403" s="178">
        <v>512</v>
      </c>
      <c r="B1403" s="178" t="s">
        <v>286</v>
      </c>
      <c r="C1403" s="178">
        <v>0</v>
      </c>
      <c r="D1403" s="178">
        <v>0</v>
      </c>
      <c r="E1403" s="178">
        <v>0</v>
      </c>
      <c r="F1403">
        <v>0</v>
      </c>
      <c r="G1403" t="s">
        <v>497</v>
      </c>
    </row>
    <row r="1404" spans="1:9">
      <c r="A1404" s="178">
        <v>514</v>
      </c>
      <c r="B1404" s="178" t="s">
        <v>641</v>
      </c>
      <c r="C1404" s="178">
        <v>0</v>
      </c>
      <c r="D1404" s="178">
        <v>0</v>
      </c>
      <c r="E1404" s="178">
        <v>0</v>
      </c>
      <c r="F1404">
        <v>0</v>
      </c>
      <c r="G1404" t="s">
        <v>497</v>
      </c>
    </row>
    <row r="1405" spans="1:9">
      <c r="A1405" s="178">
        <v>520</v>
      </c>
      <c r="B1405" s="178" t="s">
        <v>642</v>
      </c>
      <c r="C1405" s="178">
        <v>0</v>
      </c>
      <c r="D1405" s="178">
        <v>0</v>
      </c>
      <c r="E1405" s="178">
        <v>0</v>
      </c>
      <c r="F1405">
        <v>0</v>
      </c>
      <c r="G1405" t="s">
        <v>497</v>
      </c>
    </row>
    <row r="1406" spans="1:9">
      <c r="A1406" s="178">
        <v>530</v>
      </c>
      <c r="B1406" s="178" t="s">
        <v>643</v>
      </c>
      <c r="C1406" s="178">
        <v>999.96</v>
      </c>
      <c r="D1406" s="178">
        <v>440925.88</v>
      </c>
      <c r="E1406" s="178">
        <v>441925.84</v>
      </c>
      <c r="F1406">
        <v>999.96</v>
      </c>
      <c r="G1406" t="s">
        <v>497</v>
      </c>
    </row>
    <row r="1407" spans="1:9">
      <c r="A1407" s="178">
        <v>540</v>
      </c>
      <c r="B1407" s="178" t="s">
        <v>644</v>
      </c>
      <c r="C1407" s="178">
        <v>0</v>
      </c>
      <c r="D1407" s="178">
        <v>-194984</v>
      </c>
      <c r="E1407" s="178">
        <v>-194984</v>
      </c>
      <c r="F1407">
        <v>0</v>
      </c>
      <c r="G1407" t="s">
        <v>497</v>
      </c>
    </row>
    <row r="1408" spans="1:9">
      <c r="A1408" s="178">
        <v>550</v>
      </c>
      <c r="B1408" s="178" t="s">
        <v>645</v>
      </c>
      <c r="C1408" s="178">
        <v>0</v>
      </c>
      <c r="D1408" s="178">
        <v>153325.04</v>
      </c>
      <c r="E1408" s="178">
        <v>153325.04</v>
      </c>
      <c r="F1408">
        <v>0</v>
      </c>
      <c r="G1408" t="s">
        <v>497</v>
      </c>
    </row>
    <row r="1409" spans="1:9">
      <c r="A1409" s="178">
        <v>560</v>
      </c>
      <c r="B1409" s="178" t="s">
        <v>646</v>
      </c>
      <c r="C1409" s="178">
        <v>0</v>
      </c>
      <c r="D1409" s="178">
        <v>-960126</v>
      </c>
      <c r="E1409" s="178">
        <v>-960126</v>
      </c>
      <c r="F1409">
        <v>0</v>
      </c>
      <c r="G1409" t="s">
        <v>497</v>
      </c>
    </row>
    <row r="1410" spans="1:9">
      <c r="A1410" s="178">
        <v>570</v>
      </c>
      <c r="B1410" s="178" t="s">
        <v>647</v>
      </c>
      <c r="C1410" s="178">
        <v>0</v>
      </c>
      <c r="D1410" s="178">
        <v>251459.6</v>
      </c>
      <c r="E1410" s="178">
        <v>251459.6</v>
      </c>
      <c r="F1410">
        <v>0</v>
      </c>
      <c r="G1410" t="s">
        <v>497</v>
      </c>
    </row>
    <row r="1411" spans="1:9">
      <c r="A1411" s="178">
        <v>580</v>
      </c>
      <c r="B1411" s="178" t="s">
        <v>290</v>
      </c>
      <c r="C1411" s="178">
        <v>0</v>
      </c>
      <c r="D1411" s="178">
        <v>0</v>
      </c>
      <c r="E1411" s="178">
        <v>0</v>
      </c>
      <c r="F1411">
        <v>0</v>
      </c>
      <c r="G1411" t="s">
        <v>497</v>
      </c>
    </row>
    <row r="1412" spans="1:9">
      <c r="A1412" s="178">
        <v>590</v>
      </c>
      <c r="B1412" s="178" t="s">
        <v>648</v>
      </c>
      <c r="C1412" s="178">
        <v>0</v>
      </c>
      <c r="D1412" s="178">
        <v>0</v>
      </c>
      <c r="E1412" s="178">
        <v>0</v>
      </c>
      <c r="F1412">
        <v>0</v>
      </c>
      <c r="G1412" t="s">
        <v>497</v>
      </c>
    </row>
    <row r="1413" spans="1:9">
      <c r="A1413" s="178">
        <v>600</v>
      </c>
      <c r="B1413" s="178" t="s">
        <v>291</v>
      </c>
      <c r="C1413" s="178">
        <v>-34902</v>
      </c>
      <c r="D1413" s="178">
        <v>-2423196.93</v>
      </c>
      <c r="E1413" s="178">
        <v>-2458098.93</v>
      </c>
      <c r="F1413">
        <v>-34902</v>
      </c>
      <c r="G1413" t="s">
        <v>497</v>
      </c>
    </row>
    <row r="1414" spans="1:9">
      <c r="A1414" s="178">
        <v>610</v>
      </c>
      <c r="B1414" s="178" t="s">
        <v>649</v>
      </c>
      <c r="C1414" s="178">
        <v>0</v>
      </c>
      <c r="D1414" s="178">
        <v>0</v>
      </c>
      <c r="E1414" s="178">
        <v>0</v>
      </c>
      <c r="F1414">
        <v>0</v>
      </c>
      <c r="G1414" t="s">
        <v>497</v>
      </c>
    </row>
    <row r="1415" spans="1:9">
      <c r="A1415" s="178">
        <v>615</v>
      </c>
      <c r="B1415" s="178" t="s">
        <v>674</v>
      </c>
      <c r="C1415" s="178">
        <v>0</v>
      </c>
      <c r="D1415" s="178">
        <v>-97073.11</v>
      </c>
      <c r="E1415" s="178">
        <v>-97073.11</v>
      </c>
      <c r="F1415">
        <v>0</v>
      </c>
      <c r="G1415" t="s">
        <v>497</v>
      </c>
    </row>
    <row r="1416" spans="1:9">
      <c r="A1416" s="178">
        <v>620</v>
      </c>
      <c r="B1416" s="178" t="s">
        <v>292</v>
      </c>
      <c r="C1416" s="178">
        <v>0</v>
      </c>
      <c r="D1416" s="178">
        <v>0</v>
      </c>
      <c r="E1416" s="178">
        <v>0</v>
      </c>
      <c r="F1416">
        <v>0</v>
      </c>
      <c r="G1416" t="s">
        <v>497</v>
      </c>
    </row>
    <row r="1417" spans="1:9">
      <c r="A1417" s="178">
        <v>630</v>
      </c>
      <c r="B1417" s="178" t="s">
        <v>293</v>
      </c>
      <c r="C1417" s="178">
        <v>0</v>
      </c>
      <c r="D1417" s="178">
        <v>-56769</v>
      </c>
      <c r="E1417" s="178">
        <v>-56769</v>
      </c>
      <c r="F1417">
        <v>0</v>
      </c>
      <c r="G1417" t="s">
        <v>497</v>
      </c>
    </row>
    <row r="1418" spans="1:9">
      <c r="A1418" s="178">
        <v>635</v>
      </c>
      <c r="B1418" s="178" t="s">
        <v>675</v>
      </c>
      <c r="C1418" s="178">
        <v>0</v>
      </c>
      <c r="D1418" s="178">
        <v>0</v>
      </c>
      <c r="E1418" s="178">
        <v>0</v>
      </c>
      <c r="F1418">
        <v>0</v>
      </c>
      <c r="G1418" t="s">
        <v>497</v>
      </c>
    </row>
    <row r="1419" spans="1:9">
      <c r="A1419" s="178">
        <v>640</v>
      </c>
      <c r="B1419" s="178" t="s">
        <v>294</v>
      </c>
      <c r="C1419" s="178">
        <v>-28838.6</v>
      </c>
      <c r="D1419" s="178">
        <v>-3245591.81</v>
      </c>
      <c r="E1419" s="178">
        <v>-3274430.41</v>
      </c>
      <c r="F1419">
        <v>-28838.6</v>
      </c>
      <c r="G1419" t="s">
        <v>497</v>
      </c>
    </row>
    <row r="1420" spans="1:9">
      <c r="A1420" s="178">
        <v>650</v>
      </c>
      <c r="B1420" s="178" t="s">
        <v>295</v>
      </c>
      <c r="C1420" s="178">
        <v>-491616.07</v>
      </c>
      <c r="D1420" s="178">
        <v>801997.28</v>
      </c>
      <c r="E1420" s="178">
        <v>310381.21</v>
      </c>
      <c r="F1420">
        <v>-491616.07</v>
      </c>
      <c r="G1420" t="s">
        <v>497</v>
      </c>
    </row>
    <row r="1421" spans="1:9">
      <c r="A1421" s="178" t="s">
        <v>478</v>
      </c>
      <c r="B1421" s="178" t="s">
        <v>402</v>
      </c>
      <c r="C1421" s="178" t="s">
        <v>609</v>
      </c>
      <c r="D1421" s="178" t="s">
        <v>610</v>
      </c>
      <c r="E1421" s="178" t="s">
        <v>611</v>
      </c>
      <c r="F1421" t="s">
        <v>612</v>
      </c>
      <c r="G1421" t="s">
        <v>405</v>
      </c>
    </row>
    <row r="1422" spans="1:9">
      <c r="A1422" s="178">
        <v>10</v>
      </c>
      <c r="B1422" s="178" t="s">
        <v>613</v>
      </c>
      <c r="C1422" s="178">
        <v>0</v>
      </c>
      <c r="D1422" s="178">
        <v>0</v>
      </c>
      <c r="E1422" s="178">
        <v>0</v>
      </c>
      <c r="F1422">
        <v>0</v>
      </c>
      <c r="G1422" t="s">
        <v>497</v>
      </c>
    </row>
    <row r="1423" spans="1:9">
      <c r="A1423" s="178">
        <v>20</v>
      </c>
      <c r="B1423" s="178" t="s">
        <v>406</v>
      </c>
      <c r="C1423" s="178">
        <v>44332.89</v>
      </c>
      <c r="D1423" s="178">
        <v>0</v>
      </c>
      <c r="E1423" s="178">
        <v>44332.89</v>
      </c>
      <c r="F1423">
        <v>44332.89</v>
      </c>
      <c r="G1423" t="s">
        <v>497</v>
      </c>
    </row>
    <row r="1424" spans="1:9">
      <c r="A1424" s="178">
        <v>30</v>
      </c>
      <c r="B1424" s="178" t="s">
        <v>614</v>
      </c>
      <c r="C1424" s="178">
        <v>0</v>
      </c>
      <c r="D1424" s="178">
        <v>0</v>
      </c>
      <c r="E1424" s="178">
        <v>0</v>
      </c>
      <c r="F1424">
        <v>0</v>
      </c>
      <c r="G1424" t="s">
        <v>497</v>
      </c>
    </row>
    <row r="1425" spans="1:9">
      <c r="A1425" s="178">
        <v>35</v>
      </c>
      <c r="B1425" s="178" t="s">
        <v>615</v>
      </c>
      <c r="C1425" s="178">
        <v>44332.89</v>
      </c>
      <c r="D1425" s="178">
        <v>0</v>
      </c>
      <c r="E1425" s="178">
        <v>44332.89</v>
      </c>
      <c r="F1425">
        <v>44332.89</v>
      </c>
      <c r="G1425" t="s">
        <v>497</v>
      </c>
    </row>
    <row r="1426" spans="1:9">
      <c r="A1426" s="178">
        <v>40</v>
      </c>
      <c r="B1426" s="178" t="s">
        <v>616</v>
      </c>
      <c r="C1426" s="178">
        <v>0</v>
      </c>
      <c r="D1426" s="178">
        <v>0</v>
      </c>
      <c r="E1426" s="178">
        <v>0</v>
      </c>
      <c r="F1426">
        <v>0</v>
      </c>
      <c r="G1426" t="s">
        <v>497</v>
      </c>
    </row>
    <row r="1427" spans="1:9">
      <c r="A1427" s="178">
        <v>50</v>
      </c>
      <c r="B1427" s="178" t="s">
        <v>617</v>
      </c>
      <c r="C1427" s="178">
        <v>0</v>
      </c>
      <c r="D1427" s="178">
        <v>0</v>
      </c>
      <c r="E1427" s="178">
        <v>0</v>
      </c>
      <c r="F1427">
        <v>0</v>
      </c>
      <c r="G1427" t="s">
        <v>497</v>
      </c>
    </row>
    <row r="1428" spans="1:9">
      <c r="A1428" s="178">
        <v>60</v>
      </c>
      <c r="B1428" s="178" t="s">
        <v>618</v>
      </c>
      <c r="C1428" s="178">
        <v>44332.89</v>
      </c>
      <c r="D1428" s="178">
        <v>0</v>
      </c>
      <c r="E1428" s="178">
        <v>44332.89</v>
      </c>
      <c r="F1428">
        <v>44332.89</v>
      </c>
      <c r="G1428" t="s">
        <v>497</v>
      </c>
    </row>
    <row r="1429" spans="1:9">
      <c r="A1429" s="178">
        <v>70</v>
      </c>
      <c r="B1429" s="178" t="s">
        <v>412</v>
      </c>
      <c r="C1429" s="178">
        <v>10710.3</v>
      </c>
      <c r="D1429" s="178">
        <v>0</v>
      </c>
      <c r="E1429" s="178">
        <v>10710.3</v>
      </c>
      <c r="F1429">
        <v>10710.3</v>
      </c>
      <c r="G1429" t="s">
        <v>497</v>
      </c>
    </row>
    <row r="1430" spans="1:9">
      <c r="A1430" s="178">
        <v>80</v>
      </c>
      <c r="B1430" s="178" t="s">
        <v>413</v>
      </c>
      <c r="C1430" s="178">
        <v>0</v>
      </c>
      <c r="D1430" s="178">
        <v>0</v>
      </c>
      <c r="E1430" s="178">
        <v>0</v>
      </c>
      <c r="F1430">
        <v>0</v>
      </c>
      <c r="G1430" t="s">
        <v>497</v>
      </c>
    </row>
    <row r="1431" spans="1:9">
      <c r="A1431" s="178">
        <v>90</v>
      </c>
      <c r="B1431" s="178" t="s">
        <v>619</v>
      </c>
      <c r="C1431" s="178">
        <v>21016</v>
      </c>
      <c r="D1431" s="178">
        <v>0</v>
      </c>
      <c r="E1431" s="178">
        <v>21016</v>
      </c>
      <c r="F1431">
        <v>21016</v>
      </c>
      <c r="G1431" t="s">
        <v>497</v>
      </c>
    </row>
    <row r="1432" spans="1:9">
      <c r="A1432" s="178">
        <v>100</v>
      </c>
      <c r="B1432" s="178" t="s">
        <v>620</v>
      </c>
      <c r="C1432" s="178">
        <v>12606.59</v>
      </c>
      <c r="D1432" s="178">
        <v>0</v>
      </c>
      <c r="E1432" s="178">
        <v>12606.59</v>
      </c>
      <c r="F1432">
        <v>12606.59</v>
      </c>
      <c r="G1432" t="s">
        <v>497</v>
      </c>
    </row>
    <row r="1433" spans="1:9">
      <c r="A1433" s="178">
        <v>110</v>
      </c>
      <c r="B1433" s="178" t="s">
        <v>621</v>
      </c>
      <c r="C1433" s="178">
        <v>0</v>
      </c>
      <c r="D1433" s="178">
        <v>0</v>
      </c>
      <c r="E1433" s="178">
        <v>0</v>
      </c>
      <c r="F1433">
        <v>0</v>
      </c>
      <c r="G1433" t="s">
        <v>497</v>
      </c>
    </row>
    <row r="1434" spans="1:9">
      <c r="A1434" s="178">
        <v>120</v>
      </c>
      <c r="B1434" s="178" t="s">
        <v>622</v>
      </c>
      <c r="C1434" s="178">
        <v>0</v>
      </c>
      <c r="D1434" s="178">
        <v>0</v>
      </c>
      <c r="E1434" s="178">
        <v>0</v>
      </c>
      <c r="F1434">
        <v>0</v>
      </c>
      <c r="G1434" t="s">
        <v>497</v>
      </c>
    </row>
    <row r="1435" spans="1:9">
      <c r="A1435" s="178">
        <v>130</v>
      </c>
      <c r="B1435" s="178" t="s">
        <v>623</v>
      </c>
      <c r="C1435" s="178">
        <v>5059.56</v>
      </c>
      <c r="D1435" s="178">
        <v>0</v>
      </c>
      <c r="E1435" s="178">
        <v>5059.56</v>
      </c>
      <c r="F1435">
        <v>5059.56</v>
      </c>
      <c r="G1435" t="s">
        <v>497</v>
      </c>
    </row>
    <row r="1436" spans="1:9">
      <c r="A1436" s="178">
        <v>140</v>
      </c>
      <c r="B1436" s="178" t="s">
        <v>624</v>
      </c>
      <c r="C1436" s="178">
        <v>0</v>
      </c>
      <c r="D1436" s="178">
        <v>0</v>
      </c>
      <c r="E1436" s="178">
        <v>0</v>
      </c>
      <c r="F1436">
        <v>0</v>
      </c>
      <c r="G1436" t="s">
        <v>497</v>
      </c>
    </row>
    <row r="1437" spans="1:9">
      <c r="A1437" s="178">
        <v>145</v>
      </c>
      <c r="B1437" s="178" t="s">
        <v>422</v>
      </c>
      <c r="C1437" s="178">
        <v>5059.56</v>
      </c>
      <c r="D1437" s="178">
        <v>0</v>
      </c>
      <c r="E1437" s="178">
        <v>5059.56</v>
      </c>
      <c r="F1437">
        <v>5059.56</v>
      </c>
      <c r="G1437" t="s">
        <v>497</v>
      </c>
    </row>
    <row r="1438" spans="1:9">
      <c r="A1438" s="178">
        <v>150</v>
      </c>
      <c r="B1438" s="178" t="s">
        <v>625</v>
      </c>
      <c r="C1438" s="178">
        <v>7547.03</v>
      </c>
      <c r="D1438" s="178">
        <v>0</v>
      </c>
      <c r="E1438" s="178">
        <v>7547.03</v>
      </c>
      <c r="F1438">
        <v>7547.03</v>
      </c>
      <c r="G1438" t="s">
        <v>497</v>
      </c>
    </row>
    <row r="1439" spans="1:9">
      <c r="A1439" s="178">
        <v>160</v>
      </c>
      <c r="B1439" s="178" t="s">
        <v>626</v>
      </c>
      <c r="C1439" s="178">
        <v>0</v>
      </c>
      <c r="D1439" s="178">
        <v>0</v>
      </c>
      <c r="E1439" s="178">
        <v>0</v>
      </c>
      <c r="F1439">
        <v>0</v>
      </c>
      <c r="G1439" t="s">
        <v>497</v>
      </c>
    </row>
    <row r="1440" spans="1:9">
      <c r="A1440" s="178">
        <v>170</v>
      </c>
      <c r="B1440" s="178" t="s">
        <v>426</v>
      </c>
      <c r="C1440" s="178">
        <v>7547.03</v>
      </c>
      <c r="D1440" s="178">
        <v>0</v>
      </c>
      <c r="E1440" s="178">
        <v>7547.03</v>
      </c>
      <c r="F1440">
        <v>7547.03</v>
      </c>
      <c r="G1440" t="s">
        <v>497</v>
      </c>
    </row>
    <row r="1441" spans="1:9">
      <c r="A1441" s="178">
        <v>190</v>
      </c>
      <c r="B1441" s="178" t="s">
        <v>627</v>
      </c>
      <c r="C1441" s="178">
        <v>0</v>
      </c>
      <c r="D1441" s="178">
        <v>0</v>
      </c>
      <c r="E1441" s="178">
        <v>0</v>
      </c>
      <c r="F1441">
        <v>0</v>
      </c>
      <c r="G1441" t="s">
        <v>497</v>
      </c>
    </row>
    <row r="1442" spans="1:9">
      <c r="A1442" s="178">
        <v>200</v>
      </c>
      <c r="B1442" s="178" t="s">
        <v>426</v>
      </c>
      <c r="C1442" s="178">
        <v>7547.03</v>
      </c>
      <c r="D1442" s="178">
        <v>0</v>
      </c>
      <c r="E1442" s="178">
        <v>7547.03</v>
      </c>
      <c r="F1442">
        <v>7547.03</v>
      </c>
      <c r="G1442" t="s">
        <v>497</v>
      </c>
    </row>
    <row r="1443" spans="1:9">
      <c r="A1443" s="178">
        <v>210</v>
      </c>
      <c r="B1443" s="178" t="s">
        <v>264</v>
      </c>
      <c r="C1443" s="178">
        <v>7547.03</v>
      </c>
      <c r="D1443" s="178">
        <v>0</v>
      </c>
      <c r="E1443" s="178">
        <v>7547.03</v>
      </c>
      <c r="F1443">
        <v>7547.03</v>
      </c>
      <c r="G1443" t="s">
        <v>497</v>
      </c>
    </row>
    <row r="1444" spans="1:9">
      <c r="A1444" s="178">
        <v>220</v>
      </c>
      <c r="B1444" s="178" t="s">
        <v>628</v>
      </c>
      <c r="C1444" s="178">
        <v>0</v>
      </c>
      <c r="D1444" s="178">
        <v>0</v>
      </c>
      <c r="E1444" s="178">
        <v>0</v>
      </c>
      <c r="F1444">
        <v>0</v>
      </c>
      <c r="G1444" t="s">
        <v>497</v>
      </c>
    </row>
    <row r="1445" spans="1:9">
      <c r="A1445" s="178">
        <v>230</v>
      </c>
      <c r="B1445" s="178" t="s">
        <v>266</v>
      </c>
      <c r="C1445" s="178">
        <v>0</v>
      </c>
      <c r="D1445" s="178">
        <v>-9350</v>
      </c>
      <c r="E1445" s="178">
        <v>-9350</v>
      </c>
      <c r="F1445">
        <v>0</v>
      </c>
      <c r="G1445" t="s">
        <v>497</v>
      </c>
    </row>
    <row r="1446" spans="1:9">
      <c r="A1446" s="178">
        <v>235</v>
      </c>
      <c r="B1446" s="178" t="s">
        <v>629</v>
      </c>
      <c r="C1446" s="178">
        <v>0</v>
      </c>
      <c r="D1446" s="178">
        <v>0</v>
      </c>
      <c r="E1446" s="178">
        <v>0</v>
      </c>
      <c r="F1446">
        <v>0</v>
      </c>
      <c r="G1446" t="s">
        <v>497</v>
      </c>
    </row>
    <row r="1447" spans="1:9">
      <c r="A1447" s="178">
        <v>240</v>
      </c>
      <c r="B1447" s="178" t="s">
        <v>267</v>
      </c>
      <c r="C1447" s="178">
        <v>-165000</v>
      </c>
      <c r="D1447" s="178">
        <v>-22912</v>
      </c>
      <c r="E1447" s="178">
        <v>-187912</v>
      </c>
      <c r="F1447">
        <v>-165000</v>
      </c>
      <c r="G1447" t="s">
        <v>497</v>
      </c>
    </row>
    <row r="1448" spans="1:9">
      <c r="A1448" s="178">
        <v>250</v>
      </c>
      <c r="B1448" s="178" t="s">
        <v>268</v>
      </c>
      <c r="C1448" s="178">
        <v>0</v>
      </c>
      <c r="D1448" s="178">
        <v>0</v>
      </c>
      <c r="E1448" s="178">
        <v>0</v>
      </c>
      <c r="F1448">
        <v>0</v>
      </c>
      <c r="G1448" t="s">
        <v>497</v>
      </c>
    </row>
    <row r="1449" spans="1:9">
      <c r="A1449" s="178">
        <v>260</v>
      </c>
      <c r="B1449" s="178"/>
      <c r="C1449" s="178">
        <v>0</v>
      </c>
      <c r="D1449" s="178">
        <v>0</v>
      </c>
      <c r="E1449" s="178">
        <v>0</v>
      </c>
      <c r="F1449">
        <v>0</v>
      </c>
      <c r="G1449" t="s">
        <v>497</v>
      </c>
    </row>
    <row r="1450" spans="1:9">
      <c r="A1450" s="178">
        <v>270</v>
      </c>
      <c r="B1450" s="178" t="s">
        <v>269</v>
      </c>
      <c r="C1450" s="178">
        <v>0</v>
      </c>
      <c r="D1450" s="178">
        <v>-57409.21</v>
      </c>
      <c r="E1450" s="178">
        <v>-57409.21</v>
      </c>
      <c r="F1450">
        <v>0</v>
      </c>
      <c r="G1450" t="s">
        <v>497</v>
      </c>
    </row>
    <row r="1451" spans="1:9">
      <c r="A1451" s="178">
        <v>300</v>
      </c>
      <c r="B1451" s="178" t="s">
        <v>270</v>
      </c>
      <c r="C1451" s="178">
        <v>0</v>
      </c>
      <c r="D1451" s="178">
        <v>0</v>
      </c>
      <c r="E1451" s="178">
        <v>0</v>
      </c>
      <c r="F1451">
        <v>0</v>
      </c>
      <c r="G1451" t="s">
        <v>497</v>
      </c>
    </row>
    <row r="1452" spans="1:9">
      <c r="A1452" s="178">
        <v>310</v>
      </c>
      <c r="B1452" s="178" t="s">
        <v>631</v>
      </c>
      <c r="C1452" s="178">
        <v>0</v>
      </c>
      <c r="D1452" s="178">
        <v>0</v>
      </c>
      <c r="E1452" s="178">
        <v>0</v>
      </c>
      <c r="F1452">
        <v>0</v>
      </c>
      <c r="G1452" t="s">
        <v>497</v>
      </c>
    </row>
    <row r="1453" spans="1:9">
      <c r="A1453" s="178">
        <v>320</v>
      </c>
      <c r="B1453" s="178" t="s">
        <v>271</v>
      </c>
      <c r="C1453" s="178">
        <v>-26673.12</v>
      </c>
      <c r="D1453" s="178">
        <v>1254658.54</v>
      </c>
      <c r="E1453" s="178">
        <v>1227985.42</v>
      </c>
      <c r="F1453">
        <v>-26673.12</v>
      </c>
      <c r="G1453" t="s">
        <v>497</v>
      </c>
    </row>
    <row r="1454" spans="1:9">
      <c r="A1454" s="178">
        <v>325</v>
      </c>
      <c r="B1454" s="178" t="s">
        <v>272</v>
      </c>
      <c r="C1454" s="178">
        <v>0</v>
      </c>
      <c r="D1454" s="178">
        <v>0</v>
      </c>
      <c r="E1454" s="178">
        <v>0</v>
      </c>
      <c r="F1454">
        <v>0</v>
      </c>
      <c r="G1454" t="s">
        <v>497</v>
      </c>
    </row>
    <row r="1455" spans="1:9">
      <c r="A1455" s="178">
        <v>330</v>
      </c>
      <c r="B1455" s="178" t="s">
        <v>691</v>
      </c>
      <c r="C1455" s="178">
        <v>-157000</v>
      </c>
      <c r="D1455" s="178">
        <v>321552</v>
      </c>
      <c r="E1455" s="178">
        <v>164552</v>
      </c>
      <c r="F1455">
        <v>-157000</v>
      </c>
      <c r="G1455" t="s">
        <v>497</v>
      </c>
    </row>
    <row r="1456" spans="1:9">
      <c r="A1456" s="178">
        <v>340</v>
      </c>
      <c r="B1456" s="178" t="s">
        <v>633</v>
      </c>
      <c r="C1456" s="178">
        <v>0</v>
      </c>
      <c r="D1456" s="178">
        <v>0</v>
      </c>
      <c r="E1456" s="178">
        <v>0</v>
      </c>
      <c r="F1456">
        <v>0</v>
      </c>
      <c r="G1456" t="s">
        <v>497</v>
      </c>
    </row>
    <row r="1457" spans="1:9">
      <c r="A1457" s="178">
        <v>380</v>
      </c>
      <c r="B1457" s="178" t="s">
        <v>634</v>
      </c>
      <c r="C1457" s="178">
        <v>-348673.12</v>
      </c>
      <c r="D1457" s="178">
        <v>1486539.33</v>
      </c>
      <c r="E1457" s="178">
        <v>1137866.21</v>
      </c>
      <c r="F1457">
        <v>-348673.12</v>
      </c>
      <c r="G1457" t="s">
        <v>497</v>
      </c>
    </row>
    <row r="1458" spans="1:9">
      <c r="A1458" s="178">
        <v>390</v>
      </c>
      <c r="B1458" s="178" t="s">
        <v>273</v>
      </c>
      <c r="C1458" s="178">
        <v>0</v>
      </c>
      <c r="D1458" s="178">
        <v>0</v>
      </c>
      <c r="E1458" s="178">
        <v>0</v>
      </c>
      <c r="F1458">
        <v>0</v>
      </c>
      <c r="G1458" t="s">
        <v>497</v>
      </c>
    </row>
    <row r="1459" spans="1:9">
      <c r="A1459" s="178">
        <v>400</v>
      </c>
      <c r="B1459" s="178" t="s">
        <v>274</v>
      </c>
      <c r="C1459" s="178">
        <v>-8440.44</v>
      </c>
      <c r="D1459" s="178">
        <v>1235590.01</v>
      </c>
      <c r="E1459" s="178">
        <v>1227149.57</v>
      </c>
      <c r="F1459">
        <v>-8440.44</v>
      </c>
      <c r="G1459" t="s">
        <v>497</v>
      </c>
    </row>
    <row r="1460" spans="1:9">
      <c r="A1460" s="178">
        <v>405</v>
      </c>
      <c r="B1460" s="178" t="s">
        <v>275</v>
      </c>
      <c r="C1460" s="178">
        <v>0</v>
      </c>
      <c r="D1460" s="178">
        <v>0</v>
      </c>
      <c r="E1460" s="178">
        <v>0</v>
      </c>
      <c r="F1460">
        <v>0</v>
      </c>
      <c r="G1460" t="s">
        <v>497</v>
      </c>
    </row>
    <row r="1461" spans="1:9">
      <c r="A1461" s="178">
        <v>410</v>
      </c>
      <c r="B1461" s="178" t="s">
        <v>276</v>
      </c>
      <c r="C1461" s="178">
        <v>0</v>
      </c>
      <c r="D1461" s="178">
        <v>2087847.04</v>
      </c>
      <c r="E1461" s="178">
        <v>2087847.04</v>
      </c>
      <c r="F1461">
        <v>0</v>
      </c>
      <c r="G1461" t="s">
        <v>497</v>
      </c>
    </row>
    <row r="1462" spans="1:9">
      <c r="A1462" s="178">
        <v>420</v>
      </c>
      <c r="B1462" s="178" t="s">
        <v>277</v>
      </c>
      <c r="C1462" s="178">
        <v>0</v>
      </c>
      <c r="D1462" s="178">
        <v>0</v>
      </c>
      <c r="E1462" s="178">
        <v>0</v>
      </c>
      <c r="F1462">
        <v>0</v>
      </c>
      <c r="G1462" t="s">
        <v>497</v>
      </c>
    </row>
    <row r="1463" spans="1:9">
      <c r="A1463" s="178">
        <v>425</v>
      </c>
      <c r="B1463" s="178" t="s">
        <v>635</v>
      </c>
      <c r="C1463" s="178">
        <v>0</v>
      </c>
      <c r="D1463" s="178">
        <v>0</v>
      </c>
      <c r="E1463" s="178">
        <v>0</v>
      </c>
      <c r="F1463">
        <v>0</v>
      </c>
      <c r="G1463" t="s">
        <v>497</v>
      </c>
    </row>
    <row r="1464" spans="1:9">
      <c r="A1464" s="178">
        <v>427</v>
      </c>
      <c r="B1464" s="178" t="s">
        <v>636</v>
      </c>
      <c r="C1464" s="178">
        <v>0</v>
      </c>
      <c r="D1464" s="178">
        <v>0</v>
      </c>
      <c r="E1464" s="178">
        <v>0</v>
      </c>
      <c r="F1464">
        <v>0</v>
      </c>
      <c r="G1464" t="s">
        <v>497</v>
      </c>
    </row>
    <row r="1465" spans="1:9">
      <c r="A1465" s="178">
        <v>430</v>
      </c>
      <c r="B1465" s="178" t="s">
        <v>279</v>
      </c>
      <c r="C1465" s="178">
        <v>0</v>
      </c>
      <c r="D1465" s="178">
        <v>881490.3</v>
      </c>
      <c r="E1465" s="178">
        <v>881490.3</v>
      </c>
      <c r="F1465">
        <v>0</v>
      </c>
      <c r="G1465" t="s">
        <v>497</v>
      </c>
    </row>
    <row r="1466" spans="1:9">
      <c r="A1466" s="178">
        <v>440</v>
      </c>
      <c r="B1466" s="178" t="s">
        <v>280</v>
      </c>
      <c r="C1466" s="178">
        <v>-8440.44</v>
      </c>
      <c r="D1466" s="178">
        <v>4204927.35</v>
      </c>
      <c r="E1466" s="178">
        <v>4196486.91</v>
      </c>
      <c r="F1466">
        <v>-8440.44</v>
      </c>
      <c r="G1466" t="s">
        <v>497</v>
      </c>
    </row>
    <row r="1467" spans="1:9">
      <c r="A1467" s="178">
        <v>450</v>
      </c>
      <c r="B1467" s="178" t="s">
        <v>281</v>
      </c>
      <c r="C1467" s="178">
        <v>0</v>
      </c>
      <c r="D1467" s="178">
        <v>0</v>
      </c>
      <c r="E1467" s="178">
        <v>0</v>
      </c>
      <c r="F1467">
        <v>0</v>
      </c>
      <c r="G1467" t="s">
        <v>497</v>
      </c>
    </row>
    <row r="1468" spans="1:9">
      <c r="A1468" s="178">
        <v>455</v>
      </c>
      <c r="B1468" s="178" t="s">
        <v>282</v>
      </c>
      <c r="C1468" s="178">
        <v>0</v>
      </c>
      <c r="D1468" s="178">
        <v>-7018461.24</v>
      </c>
      <c r="E1468" s="178">
        <v>-7018461.24</v>
      </c>
      <c r="F1468">
        <v>0</v>
      </c>
      <c r="G1468" t="s">
        <v>497</v>
      </c>
    </row>
    <row r="1469" spans="1:9">
      <c r="A1469" s="178">
        <v>456</v>
      </c>
      <c r="B1469" s="178" t="s">
        <v>637</v>
      </c>
      <c r="C1469" s="178">
        <v>21016</v>
      </c>
      <c r="D1469" s="178">
        <v>2321755.96</v>
      </c>
      <c r="E1469" s="178">
        <v>2342771.96</v>
      </c>
      <c r="F1469">
        <v>21016</v>
      </c>
      <c r="G1469" t="s">
        <v>497</v>
      </c>
    </row>
    <row r="1470" spans="1:9">
      <c r="A1470" s="178">
        <v>460</v>
      </c>
      <c r="B1470" s="178" t="s">
        <v>283</v>
      </c>
      <c r="C1470" s="178">
        <v>0</v>
      </c>
      <c r="D1470" s="178">
        <v>-669226.96</v>
      </c>
      <c r="E1470" s="178">
        <v>-669226.96</v>
      </c>
      <c r="F1470">
        <v>0</v>
      </c>
      <c r="G1470" t="s">
        <v>497</v>
      </c>
    </row>
    <row r="1471" spans="1:9">
      <c r="A1471" s="178">
        <v>470</v>
      </c>
      <c r="B1471" s="178" t="s">
        <v>638</v>
      </c>
      <c r="C1471" s="178">
        <v>0</v>
      </c>
      <c r="D1471" s="178">
        <v>0</v>
      </c>
      <c r="E1471" s="178">
        <v>0</v>
      </c>
      <c r="F1471">
        <v>0</v>
      </c>
      <c r="G1471" t="s">
        <v>497</v>
      </c>
    </row>
    <row r="1472" spans="1:9">
      <c r="A1472" s="178">
        <v>480</v>
      </c>
      <c r="B1472" s="178" t="s">
        <v>284</v>
      </c>
      <c r="C1472" s="178">
        <v>0</v>
      </c>
      <c r="D1472" s="178">
        <v>0</v>
      </c>
      <c r="E1472" s="178">
        <v>0</v>
      </c>
      <c r="F1472">
        <v>0</v>
      </c>
      <c r="G1472" t="s">
        <v>497</v>
      </c>
    </row>
    <row r="1473" spans="1:9">
      <c r="A1473" s="178">
        <v>490</v>
      </c>
      <c r="B1473" s="178" t="s">
        <v>639</v>
      </c>
      <c r="C1473" s="178">
        <v>0</v>
      </c>
      <c r="D1473" s="178">
        <v>0</v>
      </c>
      <c r="E1473" s="178">
        <v>0</v>
      </c>
      <c r="F1473">
        <v>0</v>
      </c>
      <c r="G1473" t="s">
        <v>497</v>
      </c>
    </row>
    <row r="1474" spans="1:9">
      <c r="A1474" s="178">
        <v>500</v>
      </c>
      <c r="B1474" s="178" t="s">
        <v>285</v>
      </c>
      <c r="C1474" s="178">
        <v>0</v>
      </c>
      <c r="D1474" s="178">
        <v>0</v>
      </c>
      <c r="E1474" s="178">
        <v>0</v>
      </c>
      <c r="F1474">
        <v>0</v>
      </c>
      <c r="G1474" t="s">
        <v>497</v>
      </c>
    </row>
    <row r="1475" spans="1:9">
      <c r="A1475" s="178">
        <v>510</v>
      </c>
      <c r="B1475" s="178" t="s">
        <v>640</v>
      </c>
      <c r="C1475" s="178">
        <v>0</v>
      </c>
      <c r="D1475" s="178">
        <v>0</v>
      </c>
      <c r="E1475" s="178">
        <v>0</v>
      </c>
      <c r="F1475">
        <v>0</v>
      </c>
      <c r="G1475" t="s">
        <v>497</v>
      </c>
    </row>
    <row r="1476" spans="1:9">
      <c r="A1476" s="178">
        <v>512</v>
      </c>
      <c r="B1476" s="178" t="s">
        <v>286</v>
      </c>
      <c r="C1476" s="178">
        <v>0</v>
      </c>
      <c r="D1476" s="178">
        <v>0</v>
      </c>
      <c r="E1476" s="178">
        <v>0</v>
      </c>
      <c r="F1476">
        <v>0</v>
      </c>
      <c r="G1476" t="s">
        <v>497</v>
      </c>
    </row>
    <row r="1477" spans="1:9">
      <c r="A1477" s="178">
        <v>514</v>
      </c>
      <c r="B1477" s="178" t="s">
        <v>641</v>
      </c>
      <c r="C1477" s="178">
        <v>0</v>
      </c>
      <c r="D1477" s="178">
        <v>0</v>
      </c>
      <c r="E1477" s="178">
        <v>0</v>
      </c>
      <c r="F1477">
        <v>0</v>
      </c>
      <c r="G1477" t="s">
        <v>497</v>
      </c>
    </row>
    <row r="1478" spans="1:9">
      <c r="A1478" s="178">
        <v>520</v>
      </c>
      <c r="B1478" s="178" t="s">
        <v>642</v>
      </c>
      <c r="C1478" s="178">
        <v>0</v>
      </c>
      <c r="D1478" s="178">
        <v>0</v>
      </c>
      <c r="E1478" s="178">
        <v>0</v>
      </c>
      <c r="F1478">
        <v>0</v>
      </c>
      <c r="G1478" t="s">
        <v>497</v>
      </c>
    </row>
    <row r="1479" spans="1:9">
      <c r="A1479" s="178">
        <v>530</v>
      </c>
      <c r="B1479" s="178" t="s">
        <v>643</v>
      </c>
      <c r="C1479" s="178">
        <v>0</v>
      </c>
      <c r="D1479" s="178">
        <v>0</v>
      </c>
      <c r="E1479" s="178">
        <v>0</v>
      </c>
      <c r="F1479">
        <v>0</v>
      </c>
      <c r="G1479" t="s">
        <v>497</v>
      </c>
    </row>
    <row r="1480" spans="1:9">
      <c r="A1480" s="178">
        <v>540</v>
      </c>
      <c r="B1480" s="178" t="s">
        <v>644</v>
      </c>
      <c r="C1480" s="178">
        <v>0</v>
      </c>
      <c r="D1480" s="178">
        <v>0</v>
      </c>
      <c r="E1480" s="178">
        <v>0</v>
      </c>
      <c r="F1480">
        <v>0</v>
      </c>
      <c r="G1480" t="s">
        <v>497</v>
      </c>
    </row>
    <row r="1481" spans="1:9">
      <c r="A1481" s="178">
        <v>550</v>
      </c>
      <c r="B1481" s="178" t="s">
        <v>645</v>
      </c>
      <c r="C1481" s="178">
        <v>0</v>
      </c>
      <c r="D1481" s="178">
        <v>0</v>
      </c>
      <c r="E1481" s="178">
        <v>0</v>
      </c>
      <c r="F1481">
        <v>0</v>
      </c>
      <c r="G1481" t="s">
        <v>497</v>
      </c>
    </row>
    <row r="1482" spans="1:9">
      <c r="A1482" s="178">
        <v>560</v>
      </c>
      <c r="B1482" s="178" t="s">
        <v>646</v>
      </c>
      <c r="C1482" s="178">
        <v>0</v>
      </c>
      <c r="D1482" s="178">
        <v>0</v>
      </c>
      <c r="E1482" s="178">
        <v>0</v>
      </c>
      <c r="F1482">
        <v>0</v>
      </c>
      <c r="G1482" t="s">
        <v>497</v>
      </c>
    </row>
    <row r="1483" spans="1:9">
      <c r="A1483" s="178">
        <v>570</v>
      </c>
      <c r="B1483" s="178" t="s">
        <v>647</v>
      </c>
      <c r="C1483" s="178">
        <v>0</v>
      </c>
      <c r="D1483" s="178">
        <v>42767</v>
      </c>
      <c r="E1483" s="178">
        <v>42767</v>
      </c>
      <c r="F1483">
        <v>0</v>
      </c>
      <c r="G1483" t="s">
        <v>497</v>
      </c>
    </row>
    <row r="1484" spans="1:9">
      <c r="A1484" s="178">
        <v>580</v>
      </c>
      <c r="B1484" s="178" t="s">
        <v>290</v>
      </c>
      <c r="C1484" s="178">
        <v>0</v>
      </c>
      <c r="D1484" s="178">
        <v>0</v>
      </c>
      <c r="E1484" s="178">
        <v>0</v>
      </c>
      <c r="F1484">
        <v>0</v>
      </c>
      <c r="G1484" t="s">
        <v>497</v>
      </c>
    </row>
    <row r="1485" spans="1:9">
      <c r="A1485" s="178">
        <v>590</v>
      </c>
      <c r="B1485" s="178" t="s">
        <v>648</v>
      </c>
      <c r="C1485" s="178">
        <v>0</v>
      </c>
      <c r="D1485" s="178">
        <v>0</v>
      </c>
      <c r="E1485" s="178">
        <v>0</v>
      </c>
      <c r="F1485">
        <v>0</v>
      </c>
      <c r="G1485" t="s">
        <v>497</v>
      </c>
    </row>
    <row r="1486" spans="1:9">
      <c r="A1486" s="178">
        <v>600</v>
      </c>
      <c r="B1486" s="178" t="s">
        <v>291</v>
      </c>
      <c r="C1486" s="178">
        <v>0</v>
      </c>
      <c r="D1486" s="178">
        <v>0</v>
      </c>
      <c r="E1486" s="178">
        <v>0</v>
      </c>
      <c r="F1486">
        <v>0</v>
      </c>
      <c r="G1486" t="s">
        <v>497</v>
      </c>
    </row>
    <row r="1487" spans="1:9">
      <c r="A1487" s="178">
        <v>610</v>
      </c>
      <c r="B1487" s="178" t="s">
        <v>649</v>
      </c>
      <c r="C1487" s="178">
        <v>0</v>
      </c>
      <c r="D1487" s="178">
        <v>0</v>
      </c>
      <c r="E1487" s="178">
        <v>0</v>
      </c>
      <c r="F1487">
        <v>0</v>
      </c>
      <c r="G1487" t="s">
        <v>497</v>
      </c>
    </row>
    <row r="1488" spans="1:9">
      <c r="A1488" s="178">
        <v>615</v>
      </c>
      <c r="B1488" s="178" t="s">
        <v>674</v>
      </c>
      <c r="C1488" s="178">
        <v>0</v>
      </c>
      <c r="D1488" s="178">
        <v>0</v>
      </c>
      <c r="E1488" s="178">
        <v>0</v>
      </c>
      <c r="F1488">
        <v>0</v>
      </c>
      <c r="G1488" t="s">
        <v>497</v>
      </c>
    </row>
    <row r="1489" spans="1:9">
      <c r="A1489" s="178">
        <v>620</v>
      </c>
      <c r="B1489" s="178" t="s">
        <v>292</v>
      </c>
      <c r="C1489" s="178">
        <v>0</v>
      </c>
      <c r="D1489" s="178">
        <v>0</v>
      </c>
      <c r="E1489" s="178">
        <v>0</v>
      </c>
      <c r="F1489">
        <v>0</v>
      </c>
      <c r="G1489" t="s">
        <v>497</v>
      </c>
    </row>
    <row r="1490" spans="1:9">
      <c r="A1490" s="178">
        <v>630</v>
      </c>
      <c r="B1490" s="178" t="s">
        <v>293</v>
      </c>
      <c r="C1490" s="178">
        <v>0</v>
      </c>
      <c r="D1490" s="178">
        <v>0</v>
      </c>
      <c r="E1490" s="178">
        <v>0</v>
      </c>
      <c r="F1490">
        <v>0</v>
      </c>
      <c r="G1490" t="s">
        <v>497</v>
      </c>
    </row>
    <row r="1491" spans="1:9">
      <c r="A1491" s="178">
        <v>635</v>
      </c>
      <c r="B1491" s="178" t="s">
        <v>675</v>
      </c>
      <c r="C1491" s="178">
        <v>0</v>
      </c>
      <c r="D1491" s="178">
        <v>0</v>
      </c>
      <c r="E1491" s="178">
        <v>0</v>
      </c>
      <c r="F1491">
        <v>0</v>
      </c>
      <c r="G1491" t="s">
        <v>497</v>
      </c>
    </row>
    <row r="1492" spans="1:9">
      <c r="A1492" s="178">
        <v>640</v>
      </c>
      <c r="B1492" s="178" t="s">
        <v>294</v>
      </c>
      <c r="C1492" s="178">
        <v>21016</v>
      </c>
      <c r="D1492" s="178">
        <v>-5323165.24</v>
      </c>
      <c r="E1492" s="178">
        <v>-5302149.24</v>
      </c>
      <c r="F1492">
        <v>21016</v>
      </c>
      <c r="G1492" t="s">
        <v>497</v>
      </c>
    </row>
    <row r="1493" spans="1:9">
      <c r="A1493" s="178">
        <v>650</v>
      </c>
      <c r="B1493" s="178" t="s">
        <v>295</v>
      </c>
      <c r="C1493" s="178">
        <v>-328550.53</v>
      </c>
      <c r="D1493" s="178">
        <v>368301.44</v>
      </c>
      <c r="E1493" s="178">
        <v>39750.91</v>
      </c>
      <c r="F1493">
        <v>-328550.53</v>
      </c>
      <c r="G1493" t="s">
        <v>497</v>
      </c>
    </row>
    <row r="1494" spans="1:9">
      <c r="A1494" s="178" t="s">
        <v>480</v>
      </c>
      <c r="B1494" s="178" t="s">
        <v>402</v>
      </c>
      <c r="C1494" s="178" t="s">
        <v>609</v>
      </c>
      <c r="D1494" s="178" t="s">
        <v>610</v>
      </c>
      <c r="E1494" s="178" t="s">
        <v>611</v>
      </c>
      <c r="F1494" t="s">
        <v>612</v>
      </c>
      <c r="G1494" t="s">
        <v>405</v>
      </c>
    </row>
    <row r="1495" spans="1:9">
      <c r="A1495" s="178">
        <v>10</v>
      </c>
      <c r="B1495" s="178" t="s">
        <v>613</v>
      </c>
      <c r="C1495" s="178">
        <v>0</v>
      </c>
      <c r="D1495" s="178">
        <v>0</v>
      </c>
      <c r="E1495" s="178">
        <v>0</v>
      </c>
      <c r="F1495">
        <v>0</v>
      </c>
      <c r="G1495" t="s">
        <v>497</v>
      </c>
    </row>
    <row r="1496" spans="1:9">
      <c r="A1496" s="178">
        <v>20</v>
      </c>
      <c r="B1496" s="178" t="s">
        <v>406</v>
      </c>
      <c r="C1496" s="178">
        <v>3743</v>
      </c>
      <c r="D1496" s="178">
        <v>0</v>
      </c>
      <c r="E1496" s="178">
        <v>3743</v>
      </c>
      <c r="F1496">
        <v>3743</v>
      </c>
      <c r="G1496" t="s">
        <v>497</v>
      </c>
    </row>
    <row r="1497" spans="1:9">
      <c r="A1497" s="178">
        <v>30</v>
      </c>
      <c r="B1497" s="178" t="s">
        <v>614</v>
      </c>
      <c r="C1497" s="178">
        <v>0</v>
      </c>
      <c r="D1497" s="178">
        <v>0</v>
      </c>
      <c r="E1497" s="178">
        <v>0</v>
      </c>
      <c r="F1497">
        <v>0</v>
      </c>
      <c r="G1497" t="s">
        <v>497</v>
      </c>
    </row>
    <row r="1498" spans="1:9">
      <c r="A1498" s="178">
        <v>35</v>
      </c>
      <c r="B1498" s="178" t="s">
        <v>615</v>
      </c>
      <c r="C1498" s="178">
        <v>3743</v>
      </c>
      <c r="D1498" s="178">
        <v>0</v>
      </c>
      <c r="E1498" s="178">
        <v>3743</v>
      </c>
      <c r="F1498">
        <v>3743</v>
      </c>
      <c r="G1498" t="s">
        <v>497</v>
      </c>
    </row>
    <row r="1499" spans="1:9">
      <c r="A1499" s="178">
        <v>40</v>
      </c>
      <c r="B1499" s="178" t="s">
        <v>616</v>
      </c>
      <c r="C1499" s="178">
        <v>0</v>
      </c>
      <c r="D1499" s="178">
        <v>0</v>
      </c>
      <c r="E1499" s="178">
        <v>0</v>
      </c>
      <c r="F1499">
        <v>0</v>
      </c>
      <c r="G1499" t="s">
        <v>497</v>
      </c>
    </row>
    <row r="1500" spans="1:9">
      <c r="A1500" s="178">
        <v>50</v>
      </c>
      <c r="B1500" s="178" t="s">
        <v>617</v>
      </c>
      <c r="C1500" s="178">
        <v>0</v>
      </c>
      <c r="D1500" s="178">
        <v>0</v>
      </c>
      <c r="E1500" s="178">
        <v>0</v>
      </c>
      <c r="F1500">
        <v>0</v>
      </c>
      <c r="G1500" t="s">
        <v>497</v>
      </c>
    </row>
    <row r="1501" spans="1:9">
      <c r="A1501" s="178">
        <v>60</v>
      </c>
      <c r="B1501" s="178" t="s">
        <v>618</v>
      </c>
      <c r="C1501" s="178">
        <v>3743</v>
      </c>
      <c r="D1501" s="178">
        <v>0</v>
      </c>
      <c r="E1501" s="178">
        <v>3743</v>
      </c>
      <c r="F1501">
        <v>3743</v>
      </c>
      <c r="G1501" t="s">
        <v>497</v>
      </c>
    </row>
    <row r="1502" spans="1:9">
      <c r="A1502" s="178">
        <v>70</v>
      </c>
      <c r="B1502" s="178" t="s">
        <v>412</v>
      </c>
      <c r="C1502" s="178">
        <v>15.2</v>
      </c>
      <c r="D1502" s="178">
        <v>0</v>
      </c>
      <c r="E1502" s="178">
        <v>15.2</v>
      </c>
      <c r="F1502">
        <v>15.2</v>
      </c>
      <c r="G1502" t="s">
        <v>497</v>
      </c>
    </row>
    <row r="1503" spans="1:9">
      <c r="A1503" s="178">
        <v>80</v>
      </c>
      <c r="B1503" s="178" t="s">
        <v>413</v>
      </c>
      <c r="C1503" s="178">
        <v>0</v>
      </c>
      <c r="D1503" s="178">
        <v>0</v>
      </c>
      <c r="E1503" s="178">
        <v>0</v>
      </c>
      <c r="F1503">
        <v>0</v>
      </c>
      <c r="G1503" t="s">
        <v>497</v>
      </c>
    </row>
    <row r="1504" spans="1:9">
      <c r="A1504" s="178">
        <v>90</v>
      </c>
      <c r="B1504" s="178" t="s">
        <v>619</v>
      </c>
      <c r="C1504" s="178">
        <v>3786.04</v>
      </c>
      <c r="D1504" s="178">
        <v>0</v>
      </c>
      <c r="E1504" s="178">
        <v>3786.04</v>
      </c>
      <c r="F1504">
        <v>3786.04</v>
      </c>
      <c r="G1504" t="s">
        <v>497</v>
      </c>
    </row>
    <row r="1505" spans="1:9">
      <c r="A1505" s="178">
        <v>100</v>
      </c>
      <c r="B1505" s="178" t="s">
        <v>620</v>
      </c>
      <c r="C1505" s="178">
        <v>-58.24</v>
      </c>
      <c r="D1505" s="178">
        <v>0</v>
      </c>
      <c r="E1505" s="178">
        <v>-58.24</v>
      </c>
      <c r="F1505">
        <v>-58.24</v>
      </c>
      <c r="G1505" t="s">
        <v>497</v>
      </c>
    </row>
    <row r="1506" spans="1:9">
      <c r="A1506" s="178">
        <v>110</v>
      </c>
      <c r="B1506" s="178" t="s">
        <v>621</v>
      </c>
      <c r="C1506" s="178">
        <v>0</v>
      </c>
      <c r="D1506" s="178">
        <v>0</v>
      </c>
      <c r="E1506" s="178">
        <v>0</v>
      </c>
      <c r="F1506">
        <v>0</v>
      </c>
      <c r="G1506" t="s">
        <v>497</v>
      </c>
    </row>
    <row r="1507" spans="1:9">
      <c r="A1507" s="178">
        <v>120</v>
      </c>
      <c r="B1507" s="178" t="s">
        <v>622</v>
      </c>
      <c r="C1507" s="178">
        <v>0</v>
      </c>
      <c r="D1507" s="178">
        <v>0</v>
      </c>
      <c r="E1507" s="178">
        <v>0</v>
      </c>
      <c r="F1507">
        <v>0</v>
      </c>
      <c r="G1507" t="s">
        <v>497</v>
      </c>
    </row>
    <row r="1508" spans="1:9">
      <c r="A1508" s="178">
        <v>130</v>
      </c>
      <c r="B1508" s="178" t="s">
        <v>623</v>
      </c>
      <c r="C1508" s="178">
        <v>0</v>
      </c>
      <c r="D1508" s="178">
        <v>0</v>
      </c>
      <c r="E1508" s="178">
        <v>0</v>
      </c>
      <c r="F1508">
        <v>0</v>
      </c>
      <c r="G1508" t="s">
        <v>497</v>
      </c>
    </row>
    <row r="1509" spans="1:9">
      <c r="A1509" s="178">
        <v>140</v>
      </c>
      <c r="B1509" s="178" t="s">
        <v>624</v>
      </c>
      <c r="C1509" s="178">
        <v>0</v>
      </c>
      <c r="D1509" s="178">
        <v>0</v>
      </c>
      <c r="E1509" s="178">
        <v>0</v>
      </c>
      <c r="F1509">
        <v>0</v>
      </c>
      <c r="G1509" t="s">
        <v>497</v>
      </c>
    </row>
    <row r="1510" spans="1:9">
      <c r="A1510" s="178">
        <v>145</v>
      </c>
      <c r="B1510" s="178" t="s">
        <v>422</v>
      </c>
      <c r="C1510" s="178">
        <v>0</v>
      </c>
      <c r="D1510" s="178">
        <v>0</v>
      </c>
      <c r="E1510" s="178">
        <v>0</v>
      </c>
      <c r="F1510">
        <v>0</v>
      </c>
      <c r="G1510" t="s">
        <v>497</v>
      </c>
    </row>
    <row r="1511" spans="1:9">
      <c r="A1511" s="178">
        <v>150</v>
      </c>
      <c r="B1511" s="178" t="s">
        <v>625</v>
      </c>
      <c r="C1511" s="178">
        <v>-58.24</v>
      </c>
      <c r="D1511" s="178">
        <v>0</v>
      </c>
      <c r="E1511" s="178">
        <v>-58.24</v>
      </c>
      <c r="F1511">
        <v>-58.24</v>
      </c>
      <c r="G1511" t="s">
        <v>497</v>
      </c>
    </row>
    <row r="1512" spans="1:9">
      <c r="A1512" s="178">
        <v>160</v>
      </c>
      <c r="B1512" s="178" t="s">
        <v>626</v>
      </c>
      <c r="C1512" s="178">
        <v>0</v>
      </c>
      <c r="D1512" s="178">
        <v>0</v>
      </c>
      <c r="E1512" s="178">
        <v>0</v>
      </c>
      <c r="F1512">
        <v>0</v>
      </c>
      <c r="G1512" t="s">
        <v>497</v>
      </c>
    </row>
    <row r="1513" spans="1:9">
      <c r="A1513" s="178">
        <v>170</v>
      </c>
      <c r="B1513" s="178" t="s">
        <v>426</v>
      </c>
      <c r="C1513" s="178">
        <v>-58.24</v>
      </c>
      <c r="D1513" s="178">
        <v>0</v>
      </c>
      <c r="E1513" s="178">
        <v>-58.24</v>
      </c>
      <c r="F1513">
        <v>-58.24</v>
      </c>
      <c r="G1513" t="s">
        <v>497</v>
      </c>
    </row>
    <row r="1514" spans="1:9">
      <c r="A1514" s="178">
        <v>190</v>
      </c>
      <c r="B1514" s="178" t="s">
        <v>627</v>
      </c>
      <c r="C1514" s="178">
        <v>0</v>
      </c>
      <c r="D1514" s="178">
        <v>0</v>
      </c>
      <c r="E1514" s="178">
        <v>0</v>
      </c>
      <c r="F1514">
        <v>0</v>
      </c>
      <c r="G1514" t="s">
        <v>497</v>
      </c>
    </row>
    <row r="1515" spans="1:9">
      <c r="A1515" s="178">
        <v>200</v>
      </c>
      <c r="B1515" s="178" t="s">
        <v>426</v>
      </c>
      <c r="C1515" s="178">
        <v>-58.24</v>
      </c>
      <c r="D1515" s="178">
        <v>0</v>
      </c>
      <c r="E1515" s="178">
        <v>-58.24</v>
      </c>
      <c r="F1515">
        <v>-58.24</v>
      </c>
      <c r="G1515" t="s">
        <v>497</v>
      </c>
    </row>
    <row r="1516" spans="1:9">
      <c r="A1516" s="178">
        <v>210</v>
      </c>
      <c r="B1516" s="178" t="s">
        <v>264</v>
      </c>
      <c r="C1516" s="178">
        <v>-58.24</v>
      </c>
      <c r="D1516" s="178">
        <v>0</v>
      </c>
      <c r="E1516" s="178">
        <v>-58.24</v>
      </c>
      <c r="F1516">
        <v>-58.24</v>
      </c>
      <c r="G1516" t="s">
        <v>497</v>
      </c>
    </row>
    <row r="1517" spans="1:9">
      <c r="A1517" s="178">
        <v>220</v>
      </c>
      <c r="B1517" s="178" t="s">
        <v>628</v>
      </c>
      <c r="C1517" s="178">
        <v>0</v>
      </c>
      <c r="D1517" s="178">
        <v>0</v>
      </c>
      <c r="E1517" s="178">
        <v>0</v>
      </c>
      <c r="F1517">
        <v>0</v>
      </c>
      <c r="G1517" t="s">
        <v>497</v>
      </c>
    </row>
    <row r="1518" spans="1:9">
      <c r="A1518" s="178">
        <v>230</v>
      </c>
      <c r="B1518" s="178" t="s">
        <v>266</v>
      </c>
      <c r="C1518" s="178">
        <v>0</v>
      </c>
      <c r="D1518" s="178">
        <v>0</v>
      </c>
      <c r="E1518" s="178">
        <v>0</v>
      </c>
      <c r="F1518">
        <v>0</v>
      </c>
      <c r="G1518" t="s">
        <v>497</v>
      </c>
    </row>
    <row r="1519" spans="1:9">
      <c r="A1519" s="178">
        <v>235</v>
      </c>
      <c r="B1519" s="178" t="s">
        <v>629</v>
      </c>
      <c r="C1519" s="178">
        <v>0</v>
      </c>
      <c r="D1519" s="178">
        <v>0</v>
      </c>
      <c r="E1519" s="178">
        <v>0</v>
      </c>
      <c r="F1519">
        <v>0</v>
      </c>
      <c r="G1519" t="s">
        <v>497</v>
      </c>
    </row>
    <row r="1520" spans="1:9">
      <c r="A1520" s="178">
        <v>240</v>
      </c>
      <c r="B1520" s="178" t="s">
        <v>267</v>
      </c>
      <c r="C1520" s="178">
        <v>0</v>
      </c>
      <c r="D1520" s="178">
        <v>0</v>
      </c>
      <c r="E1520" s="178">
        <v>0</v>
      </c>
      <c r="F1520">
        <v>0</v>
      </c>
      <c r="G1520" t="s">
        <v>497</v>
      </c>
    </row>
    <row r="1521" spans="1:9">
      <c r="A1521" s="178">
        <v>250</v>
      </c>
      <c r="B1521" s="178" t="s">
        <v>268</v>
      </c>
      <c r="C1521" s="178">
        <v>0</v>
      </c>
      <c r="D1521" s="178">
        <v>0</v>
      </c>
      <c r="E1521" s="178">
        <v>0</v>
      </c>
      <c r="F1521">
        <v>0</v>
      </c>
      <c r="G1521" t="s">
        <v>497</v>
      </c>
    </row>
    <row r="1522" spans="1:9">
      <c r="A1522" s="178">
        <v>260</v>
      </c>
      <c r="B1522" s="178"/>
      <c r="C1522" s="178">
        <v>0</v>
      </c>
      <c r="D1522" s="178">
        <v>0</v>
      </c>
      <c r="E1522" s="178">
        <v>0</v>
      </c>
      <c r="F1522">
        <v>0</v>
      </c>
      <c r="G1522" t="s">
        <v>497</v>
      </c>
    </row>
    <row r="1523" spans="1:9">
      <c r="A1523" s="178">
        <v>270</v>
      </c>
      <c r="B1523" s="178" t="s">
        <v>269</v>
      </c>
      <c r="C1523" s="178">
        <v>0</v>
      </c>
      <c r="D1523" s="178">
        <v>-947.26</v>
      </c>
      <c r="E1523" s="178">
        <v>-947.26</v>
      </c>
      <c r="F1523">
        <v>0</v>
      </c>
      <c r="G1523" t="s">
        <v>497</v>
      </c>
    </row>
    <row r="1524" spans="1:9">
      <c r="A1524" s="178">
        <v>300</v>
      </c>
      <c r="B1524" s="178" t="s">
        <v>270</v>
      </c>
      <c r="C1524" s="178">
        <v>0</v>
      </c>
      <c r="D1524" s="178">
        <v>0</v>
      </c>
      <c r="E1524" s="178">
        <v>0</v>
      </c>
      <c r="F1524">
        <v>0</v>
      </c>
      <c r="G1524" t="s">
        <v>497</v>
      </c>
    </row>
    <row r="1525" spans="1:9">
      <c r="A1525" s="178">
        <v>310</v>
      </c>
      <c r="B1525" s="178" t="s">
        <v>631</v>
      </c>
      <c r="C1525" s="178">
        <v>0</v>
      </c>
      <c r="D1525" s="178">
        <v>0</v>
      </c>
      <c r="E1525" s="178">
        <v>0</v>
      </c>
      <c r="F1525">
        <v>0</v>
      </c>
      <c r="G1525" t="s">
        <v>497</v>
      </c>
    </row>
    <row r="1526" spans="1:9">
      <c r="A1526" s="178">
        <v>320</v>
      </c>
      <c r="B1526" s="178" t="s">
        <v>271</v>
      </c>
      <c r="C1526" s="178">
        <v>0</v>
      </c>
      <c r="D1526" s="178">
        <v>0</v>
      </c>
      <c r="E1526" s="178">
        <v>0</v>
      </c>
      <c r="F1526">
        <v>0</v>
      </c>
      <c r="G1526" t="s">
        <v>497</v>
      </c>
    </row>
    <row r="1527" spans="1:9">
      <c r="A1527" s="178">
        <v>325</v>
      </c>
      <c r="B1527" s="178" t="s">
        <v>272</v>
      </c>
      <c r="C1527" s="178">
        <v>0</v>
      </c>
      <c r="D1527" s="178">
        <v>0</v>
      </c>
      <c r="E1527" s="178">
        <v>0</v>
      </c>
      <c r="F1527">
        <v>0</v>
      </c>
      <c r="G1527" t="s">
        <v>497</v>
      </c>
    </row>
    <row r="1528" spans="1:9">
      <c r="A1528" s="178">
        <v>330</v>
      </c>
      <c r="B1528" s="178" t="s">
        <v>691</v>
      </c>
      <c r="C1528" s="178">
        <v>0</v>
      </c>
      <c r="D1528" s="178">
        <v>1133122.17</v>
      </c>
      <c r="E1528" s="178">
        <v>1133122.17</v>
      </c>
      <c r="F1528">
        <v>0</v>
      </c>
      <c r="G1528" t="s">
        <v>497</v>
      </c>
    </row>
    <row r="1529" spans="1:9">
      <c r="A1529" s="178">
        <v>340</v>
      </c>
      <c r="B1529" s="178" t="s">
        <v>633</v>
      </c>
      <c r="C1529" s="178">
        <v>0</v>
      </c>
      <c r="D1529" s="178">
        <v>0</v>
      </c>
      <c r="E1529" s="178">
        <v>0</v>
      </c>
      <c r="F1529">
        <v>0</v>
      </c>
      <c r="G1529" t="s">
        <v>497</v>
      </c>
    </row>
    <row r="1530" spans="1:9">
      <c r="A1530" s="178">
        <v>380</v>
      </c>
      <c r="B1530" s="178" t="s">
        <v>634</v>
      </c>
      <c r="C1530" s="178">
        <v>0</v>
      </c>
      <c r="D1530" s="178">
        <v>1132174.91</v>
      </c>
      <c r="E1530" s="178">
        <v>1132174.91</v>
      </c>
      <c r="F1530">
        <v>0</v>
      </c>
      <c r="G1530" t="s">
        <v>497</v>
      </c>
    </row>
    <row r="1531" spans="1:9">
      <c r="A1531" s="178">
        <v>390</v>
      </c>
      <c r="B1531" s="178" t="s">
        <v>273</v>
      </c>
      <c r="C1531" s="178">
        <v>0</v>
      </c>
      <c r="D1531" s="178">
        <v>0</v>
      </c>
      <c r="E1531" s="178">
        <v>0</v>
      </c>
      <c r="F1531">
        <v>0</v>
      </c>
      <c r="G1531" t="s">
        <v>497</v>
      </c>
    </row>
    <row r="1532" spans="1:9">
      <c r="A1532" s="178">
        <v>400</v>
      </c>
      <c r="B1532" s="178" t="s">
        <v>274</v>
      </c>
      <c r="C1532" s="178">
        <v>0</v>
      </c>
      <c r="D1532" s="178">
        <v>0</v>
      </c>
      <c r="E1532" s="178">
        <v>0</v>
      </c>
      <c r="F1532">
        <v>0</v>
      </c>
      <c r="G1532" t="s">
        <v>497</v>
      </c>
    </row>
    <row r="1533" spans="1:9">
      <c r="A1533" s="178">
        <v>405</v>
      </c>
      <c r="B1533" s="178" t="s">
        <v>275</v>
      </c>
      <c r="C1533" s="178">
        <v>0</v>
      </c>
      <c r="D1533" s="178">
        <v>0</v>
      </c>
      <c r="E1533" s="178">
        <v>0</v>
      </c>
      <c r="F1533">
        <v>0</v>
      </c>
      <c r="G1533" t="s">
        <v>497</v>
      </c>
    </row>
    <row r="1534" spans="1:9">
      <c r="A1534" s="178">
        <v>410</v>
      </c>
      <c r="B1534" s="178" t="s">
        <v>276</v>
      </c>
      <c r="C1534" s="178">
        <v>0</v>
      </c>
      <c r="D1534" s="178">
        <v>0</v>
      </c>
      <c r="E1534" s="178">
        <v>0</v>
      </c>
      <c r="F1534">
        <v>0</v>
      </c>
      <c r="G1534" t="s">
        <v>497</v>
      </c>
    </row>
    <row r="1535" spans="1:9">
      <c r="A1535" s="178">
        <v>420</v>
      </c>
      <c r="B1535" s="178" t="s">
        <v>277</v>
      </c>
      <c r="C1535" s="178">
        <v>0</v>
      </c>
      <c r="D1535" s="178">
        <v>-118283.45</v>
      </c>
      <c r="E1535" s="178">
        <v>-118283.45</v>
      </c>
      <c r="F1535">
        <v>0</v>
      </c>
      <c r="G1535" t="s">
        <v>497</v>
      </c>
    </row>
    <row r="1536" spans="1:9">
      <c r="A1536" s="178">
        <v>425</v>
      </c>
      <c r="B1536" s="178" t="s">
        <v>635</v>
      </c>
      <c r="C1536" s="178">
        <v>0</v>
      </c>
      <c r="D1536" s="178">
        <v>0</v>
      </c>
      <c r="E1536" s="178">
        <v>0</v>
      </c>
      <c r="F1536">
        <v>0</v>
      </c>
      <c r="G1536" t="s">
        <v>497</v>
      </c>
    </row>
    <row r="1537" spans="1:9">
      <c r="A1537" s="178">
        <v>427</v>
      </c>
      <c r="B1537" s="178" t="s">
        <v>636</v>
      </c>
      <c r="C1537" s="178">
        <v>0</v>
      </c>
      <c r="D1537" s="178">
        <v>0</v>
      </c>
      <c r="E1537" s="178">
        <v>0</v>
      </c>
      <c r="F1537">
        <v>0</v>
      </c>
      <c r="G1537" t="s">
        <v>497</v>
      </c>
    </row>
    <row r="1538" spans="1:9">
      <c r="A1538" s="178">
        <v>430</v>
      </c>
      <c r="B1538" s="178" t="s">
        <v>279</v>
      </c>
      <c r="C1538" s="178">
        <v>0</v>
      </c>
      <c r="D1538" s="178">
        <v>-339230.13</v>
      </c>
      <c r="E1538" s="178">
        <v>-339230.13</v>
      </c>
      <c r="F1538">
        <v>0</v>
      </c>
      <c r="G1538" t="s">
        <v>497</v>
      </c>
    </row>
    <row r="1539" spans="1:9">
      <c r="A1539" s="178">
        <v>440</v>
      </c>
      <c r="B1539" s="178" t="s">
        <v>280</v>
      </c>
      <c r="C1539" s="178">
        <v>0</v>
      </c>
      <c r="D1539" s="178">
        <v>-457513.58</v>
      </c>
      <c r="E1539" s="178">
        <v>-457513.58</v>
      </c>
      <c r="F1539">
        <v>0</v>
      </c>
      <c r="G1539" t="s">
        <v>497</v>
      </c>
    </row>
    <row r="1540" spans="1:9">
      <c r="A1540" s="178">
        <v>450</v>
      </c>
      <c r="B1540" s="178" t="s">
        <v>281</v>
      </c>
      <c r="C1540" s="178">
        <v>0</v>
      </c>
      <c r="D1540" s="178">
        <v>0</v>
      </c>
      <c r="E1540" s="178">
        <v>0</v>
      </c>
      <c r="F1540">
        <v>0</v>
      </c>
      <c r="G1540" t="s">
        <v>497</v>
      </c>
    </row>
    <row r="1541" spans="1:9">
      <c r="A1541" s="178">
        <v>455</v>
      </c>
      <c r="B1541" s="178" t="s">
        <v>282</v>
      </c>
      <c r="C1541" s="178">
        <v>0</v>
      </c>
      <c r="D1541" s="178">
        <v>-847008</v>
      </c>
      <c r="E1541" s="178">
        <v>-847008</v>
      </c>
      <c r="F1541">
        <v>0</v>
      </c>
      <c r="G1541" t="s">
        <v>497</v>
      </c>
    </row>
    <row r="1542" spans="1:9">
      <c r="A1542" s="178">
        <v>456</v>
      </c>
      <c r="B1542" s="178" t="s">
        <v>637</v>
      </c>
      <c r="C1542" s="178">
        <v>3786.04</v>
      </c>
      <c r="D1542" s="178">
        <v>218950.38</v>
      </c>
      <c r="E1542" s="178">
        <v>222736.42</v>
      </c>
      <c r="F1542">
        <v>3786.04</v>
      </c>
      <c r="G1542" t="s">
        <v>497</v>
      </c>
    </row>
    <row r="1543" spans="1:9">
      <c r="A1543" s="178">
        <v>460</v>
      </c>
      <c r="B1543" s="178" t="s">
        <v>283</v>
      </c>
      <c r="C1543" s="178">
        <v>0</v>
      </c>
      <c r="D1543" s="178">
        <v>-172975</v>
      </c>
      <c r="E1543" s="178">
        <v>-172975</v>
      </c>
      <c r="F1543">
        <v>0</v>
      </c>
      <c r="G1543" t="s">
        <v>497</v>
      </c>
    </row>
    <row r="1544" spans="1:9">
      <c r="A1544" s="178">
        <v>470</v>
      </c>
      <c r="B1544" s="178" t="s">
        <v>638</v>
      </c>
      <c r="C1544" s="178">
        <v>0</v>
      </c>
      <c r="D1544" s="178">
        <v>129731.1</v>
      </c>
      <c r="E1544" s="178">
        <v>129731.1</v>
      </c>
      <c r="F1544">
        <v>0</v>
      </c>
      <c r="G1544" t="s">
        <v>497</v>
      </c>
    </row>
    <row r="1545" spans="1:9">
      <c r="A1545" s="178">
        <v>480</v>
      </c>
      <c r="B1545" s="178" t="s">
        <v>284</v>
      </c>
      <c r="C1545" s="178">
        <v>0</v>
      </c>
      <c r="D1545" s="178">
        <v>0</v>
      </c>
      <c r="E1545" s="178">
        <v>0</v>
      </c>
      <c r="F1545">
        <v>0</v>
      </c>
      <c r="G1545" t="s">
        <v>497</v>
      </c>
    </row>
    <row r="1546" spans="1:9">
      <c r="A1546" s="178">
        <v>490</v>
      </c>
      <c r="B1546" s="178" t="s">
        <v>639</v>
      </c>
      <c r="C1546" s="178">
        <v>0</v>
      </c>
      <c r="D1546" s="178">
        <v>0</v>
      </c>
      <c r="E1546" s="178">
        <v>0</v>
      </c>
      <c r="F1546">
        <v>0</v>
      </c>
      <c r="G1546" t="s">
        <v>497</v>
      </c>
    </row>
    <row r="1547" spans="1:9">
      <c r="A1547" s="178">
        <v>500</v>
      </c>
      <c r="B1547" s="178" t="s">
        <v>285</v>
      </c>
      <c r="C1547" s="178">
        <v>0</v>
      </c>
      <c r="D1547" s="178">
        <v>0</v>
      </c>
      <c r="E1547" s="178">
        <v>0</v>
      </c>
      <c r="F1547">
        <v>0</v>
      </c>
      <c r="G1547" t="s">
        <v>497</v>
      </c>
    </row>
    <row r="1548" spans="1:9">
      <c r="A1548" s="178">
        <v>510</v>
      </c>
      <c r="B1548" s="178" t="s">
        <v>640</v>
      </c>
      <c r="C1548" s="178">
        <v>0</v>
      </c>
      <c r="D1548" s="178">
        <v>0</v>
      </c>
      <c r="E1548" s="178">
        <v>0</v>
      </c>
      <c r="F1548">
        <v>0</v>
      </c>
      <c r="G1548" t="s">
        <v>497</v>
      </c>
    </row>
    <row r="1549" spans="1:9">
      <c r="A1549" s="178">
        <v>512</v>
      </c>
      <c r="B1549" s="178" t="s">
        <v>286</v>
      </c>
      <c r="C1549" s="178">
        <v>0</v>
      </c>
      <c r="D1549" s="178">
        <v>0</v>
      </c>
      <c r="E1549" s="178">
        <v>0</v>
      </c>
      <c r="F1549">
        <v>0</v>
      </c>
      <c r="G1549" t="s">
        <v>497</v>
      </c>
    </row>
    <row r="1550" spans="1:9">
      <c r="A1550" s="178">
        <v>514</v>
      </c>
      <c r="B1550" s="178" t="s">
        <v>641</v>
      </c>
      <c r="C1550" s="178">
        <v>0</v>
      </c>
      <c r="D1550" s="178">
        <v>0</v>
      </c>
      <c r="E1550" s="178">
        <v>0</v>
      </c>
      <c r="F1550">
        <v>0</v>
      </c>
      <c r="G1550" t="s">
        <v>497</v>
      </c>
    </row>
    <row r="1551" spans="1:9">
      <c r="A1551" s="178">
        <v>520</v>
      </c>
      <c r="B1551" s="178" t="s">
        <v>642</v>
      </c>
      <c r="C1551" s="178">
        <v>0</v>
      </c>
      <c r="D1551" s="178">
        <v>0</v>
      </c>
      <c r="E1551" s="178">
        <v>0</v>
      </c>
      <c r="F1551">
        <v>0</v>
      </c>
      <c r="G1551" t="s">
        <v>497</v>
      </c>
    </row>
    <row r="1552" spans="1:9">
      <c r="A1552" s="178">
        <v>530</v>
      </c>
      <c r="B1552" s="178" t="s">
        <v>643</v>
      </c>
      <c r="C1552" s="178">
        <v>0</v>
      </c>
      <c r="D1552" s="178">
        <v>0</v>
      </c>
      <c r="E1552" s="178">
        <v>0</v>
      </c>
      <c r="F1552">
        <v>0</v>
      </c>
      <c r="G1552" t="s">
        <v>497</v>
      </c>
    </row>
    <row r="1553" spans="1:9">
      <c r="A1553" s="178">
        <v>540</v>
      </c>
      <c r="B1553" s="178" t="s">
        <v>644</v>
      </c>
      <c r="C1553" s="178">
        <v>0</v>
      </c>
      <c r="D1553" s="178">
        <v>0</v>
      </c>
      <c r="E1553" s="178">
        <v>0</v>
      </c>
      <c r="F1553">
        <v>0</v>
      </c>
      <c r="G1553" t="s">
        <v>497</v>
      </c>
    </row>
    <row r="1554" spans="1:9">
      <c r="A1554" s="178">
        <v>550</v>
      </c>
      <c r="B1554" s="178" t="s">
        <v>645</v>
      </c>
      <c r="C1554" s="178">
        <v>0</v>
      </c>
      <c r="D1554" s="178">
        <v>0</v>
      </c>
      <c r="E1554" s="178">
        <v>0</v>
      </c>
      <c r="F1554">
        <v>0</v>
      </c>
      <c r="G1554" t="s">
        <v>497</v>
      </c>
    </row>
    <row r="1555" spans="1:9">
      <c r="A1555" s="178">
        <v>560</v>
      </c>
      <c r="B1555" s="178" t="s">
        <v>646</v>
      </c>
      <c r="C1555" s="178">
        <v>0</v>
      </c>
      <c r="D1555" s="178">
        <v>-3450</v>
      </c>
      <c r="E1555" s="178">
        <v>-3450</v>
      </c>
      <c r="F1555">
        <v>0</v>
      </c>
      <c r="G1555" t="s">
        <v>497</v>
      </c>
    </row>
    <row r="1556" spans="1:9">
      <c r="A1556" s="178">
        <v>570</v>
      </c>
      <c r="B1556" s="178" t="s">
        <v>647</v>
      </c>
      <c r="C1556" s="178">
        <v>0</v>
      </c>
      <c r="D1556" s="178">
        <v>3022</v>
      </c>
      <c r="E1556" s="178">
        <v>3022</v>
      </c>
      <c r="F1556">
        <v>0</v>
      </c>
      <c r="G1556" t="s">
        <v>497</v>
      </c>
    </row>
    <row r="1557" spans="1:9">
      <c r="A1557" s="178">
        <v>580</v>
      </c>
      <c r="B1557" s="178" t="s">
        <v>290</v>
      </c>
      <c r="C1557" s="178">
        <v>0</v>
      </c>
      <c r="D1557" s="178">
        <v>0</v>
      </c>
      <c r="E1557" s="178">
        <v>0</v>
      </c>
      <c r="F1557">
        <v>0</v>
      </c>
      <c r="G1557" t="s">
        <v>497</v>
      </c>
    </row>
    <row r="1558" spans="1:9">
      <c r="A1558" s="178">
        <v>590</v>
      </c>
      <c r="B1558" s="178" t="s">
        <v>648</v>
      </c>
      <c r="C1558" s="178">
        <v>0</v>
      </c>
      <c r="D1558" s="178">
        <v>0</v>
      </c>
      <c r="E1558" s="178">
        <v>0</v>
      </c>
      <c r="F1558">
        <v>0</v>
      </c>
      <c r="G1558" t="s">
        <v>497</v>
      </c>
    </row>
    <row r="1559" spans="1:9">
      <c r="A1559" s="178">
        <v>600</v>
      </c>
      <c r="B1559" s="178" t="s">
        <v>291</v>
      </c>
      <c r="C1559" s="178">
        <v>0</v>
      </c>
      <c r="D1559" s="178">
        <v>0</v>
      </c>
      <c r="E1559" s="178">
        <v>0</v>
      </c>
      <c r="F1559">
        <v>0</v>
      </c>
      <c r="G1559" t="s">
        <v>497</v>
      </c>
    </row>
    <row r="1560" spans="1:9">
      <c r="A1560" s="178">
        <v>610</v>
      </c>
      <c r="B1560" s="178" t="s">
        <v>649</v>
      </c>
      <c r="C1560" s="178">
        <v>0</v>
      </c>
      <c r="D1560" s="178">
        <v>0</v>
      </c>
      <c r="E1560" s="178">
        <v>0</v>
      </c>
      <c r="F1560">
        <v>0</v>
      </c>
      <c r="G1560" t="s">
        <v>497</v>
      </c>
    </row>
    <row r="1561" spans="1:9">
      <c r="A1561" s="178">
        <v>615</v>
      </c>
      <c r="B1561" s="178" t="s">
        <v>674</v>
      </c>
      <c r="C1561" s="178">
        <v>0</v>
      </c>
      <c r="D1561" s="178">
        <v>0</v>
      </c>
      <c r="E1561" s="178">
        <v>0</v>
      </c>
      <c r="F1561">
        <v>0</v>
      </c>
      <c r="G1561" t="s">
        <v>497</v>
      </c>
    </row>
    <row r="1562" spans="1:9">
      <c r="A1562" s="178">
        <v>620</v>
      </c>
      <c r="B1562" s="178" t="s">
        <v>292</v>
      </c>
      <c r="C1562" s="178">
        <v>0</v>
      </c>
      <c r="D1562" s="178">
        <v>0</v>
      </c>
      <c r="E1562" s="178">
        <v>0</v>
      </c>
      <c r="F1562">
        <v>0</v>
      </c>
      <c r="G1562" t="s">
        <v>497</v>
      </c>
    </row>
    <row r="1563" spans="1:9">
      <c r="A1563" s="178">
        <v>630</v>
      </c>
      <c r="B1563" s="178" t="s">
        <v>293</v>
      </c>
      <c r="C1563" s="178">
        <v>0</v>
      </c>
      <c r="D1563" s="178">
        <v>0</v>
      </c>
      <c r="E1563" s="178">
        <v>0</v>
      </c>
      <c r="F1563">
        <v>0</v>
      </c>
      <c r="G1563" t="s">
        <v>497</v>
      </c>
    </row>
    <row r="1564" spans="1:9">
      <c r="A1564" s="178">
        <v>635</v>
      </c>
      <c r="B1564" s="178" t="s">
        <v>675</v>
      </c>
      <c r="C1564" s="178">
        <v>0</v>
      </c>
      <c r="D1564" s="178">
        <v>0</v>
      </c>
      <c r="E1564" s="178">
        <v>0</v>
      </c>
      <c r="F1564">
        <v>0</v>
      </c>
      <c r="G1564" t="s">
        <v>497</v>
      </c>
    </row>
    <row r="1565" spans="1:9">
      <c r="A1565" s="178">
        <v>640</v>
      </c>
      <c r="B1565" s="178" t="s">
        <v>294</v>
      </c>
      <c r="C1565" s="178">
        <v>3786.04</v>
      </c>
      <c r="D1565" s="178">
        <v>-671729.52</v>
      </c>
      <c r="E1565" s="178">
        <v>-667943.48</v>
      </c>
      <c r="F1565">
        <v>3786.04</v>
      </c>
      <c r="G1565" t="s">
        <v>497</v>
      </c>
    </row>
    <row r="1566" spans="1:9">
      <c r="A1566" s="178">
        <v>650</v>
      </c>
      <c r="B1566" s="178" t="s">
        <v>295</v>
      </c>
      <c r="C1566" s="178">
        <v>3727.8</v>
      </c>
      <c r="D1566" s="178">
        <v>2931.81</v>
      </c>
      <c r="E1566" s="178">
        <v>6659.61</v>
      </c>
      <c r="F1566">
        <v>3727.8</v>
      </c>
      <c r="G1566" t="s">
        <v>497</v>
      </c>
    </row>
    <row r="1567" spans="1:9">
      <c r="A1567" s="178" t="s">
        <v>483</v>
      </c>
      <c r="B1567" s="178" t="s">
        <v>402</v>
      </c>
      <c r="C1567" s="178" t="s">
        <v>609</v>
      </c>
      <c r="D1567" s="178" t="s">
        <v>610</v>
      </c>
      <c r="E1567" s="178" t="s">
        <v>611</v>
      </c>
      <c r="F1567" t="s">
        <v>612</v>
      </c>
      <c r="G1567" t="s">
        <v>405</v>
      </c>
    </row>
    <row r="1568" spans="1:9">
      <c r="A1568" s="178">
        <v>10</v>
      </c>
      <c r="B1568" s="178" t="s">
        <v>613</v>
      </c>
      <c r="C1568" s="178">
        <v>0</v>
      </c>
      <c r="D1568" s="178">
        <v>0</v>
      </c>
      <c r="E1568" s="178">
        <v>0</v>
      </c>
      <c r="F1568">
        <v>0</v>
      </c>
      <c r="G1568" t="s">
        <v>497</v>
      </c>
    </row>
    <row r="1569" spans="1:9">
      <c r="A1569" s="178">
        <v>20</v>
      </c>
      <c r="B1569" s="178" t="s">
        <v>406</v>
      </c>
      <c r="C1569" s="178">
        <v>344771.95</v>
      </c>
      <c r="D1569" s="178">
        <v>0</v>
      </c>
      <c r="E1569" s="178">
        <v>344771.95</v>
      </c>
      <c r="F1569">
        <v>344771.95</v>
      </c>
      <c r="G1569" t="s">
        <v>497</v>
      </c>
    </row>
    <row r="1570" spans="1:9">
      <c r="A1570" s="178">
        <v>30</v>
      </c>
      <c r="B1570" s="178" t="s">
        <v>614</v>
      </c>
      <c r="C1570" s="178">
        <v>69818.11</v>
      </c>
      <c r="D1570" s="178">
        <v>0</v>
      </c>
      <c r="E1570" s="178">
        <v>69818.11</v>
      </c>
      <c r="F1570">
        <v>69818.11</v>
      </c>
      <c r="G1570" t="s">
        <v>497</v>
      </c>
    </row>
    <row r="1571" spans="1:9">
      <c r="A1571" s="178">
        <v>35</v>
      </c>
      <c r="B1571" s="178" t="s">
        <v>615</v>
      </c>
      <c r="C1571" s="178">
        <v>274953.84</v>
      </c>
      <c r="D1571" s="178">
        <v>0</v>
      </c>
      <c r="E1571" s="178">
        <v>274953.84</v>
      </c>
      <c r="F1571">
        <v>274953.84</v>
      </c>
      <c r="G1571" t="s">
        <v>497</v>
      </c>
    </row>
    <row r="1572" spans="1:9">
      <c r="A1572" s="178">
        <v>40</v>
      </c>
      <c r="B1572" s="178" t="s">
        <v>616</v>
      </c>
      <c r="C1572" s="178">
        <v>152303.96</v>
      </c>
      <c r="D1572" s="178">
        <v>0</v>
      </c>
      <c r="E1572" s="178">
        <v>152303.96</v>
      </c>
      <c r="F1572">
        <v>152303.96</v>
      </c>
      <c r="G1572" t="s">
        <v>497</v>
      </c>
    </row>
    <row r="1573" spans="1:9">
      <c r="A1573" s="178">
        <v>50</v>
      </c>
      <c r="B1573" s="178" t="s">
        <v>617</v>
      </c>
      <c r="C1573" s="178">
        <v>0</v>
      </c>
      <c r="D1573" s="178">
        <v>0</v>
      </c>
      <c r="E1573" s="178">
        <v>0</v>
      </c>
      <c r="F1573">
        <v>0</v>
      </c>
      <c r="G1573" t="s">
        <v>497</v>
      </c>
    </row>
    <row r="1574" spans="1:9">
      <c r="A1574" s="178">
        <v>60</v>
      </c>
      <c r="B1574" s="178" t="s">
        <v>618</v>
      </c>
      <c r="C1574" s="178">
        <v>122649.88</v>
      </c>
      <c r="D1574" s="178">
        <v>0</v>
      </c>
      <c r="E1574" s="178">
        <v>122649.88</v>
      </c>
      <c r="F1574">
        <v>122649.88</v>
      </c>
      <c r="G1574" t="s">
        <v>497</v>
      </c>
    </row>
    <row r="1575" spans="1:9">
      <c r="A1575" s="178">
        <v>70</v>
      </c>
      <c r="B1575" s="178" t="s">
        <v>412</v>
      </c>
      <c r="C1575" s="178">
        <v>78778.35</v>
      </c>
      <c r="D1575" s="178">
        <v>0</v>
      </c>
      <c r="E1575" s="178">
        <v>78778.35</v>
      </c>
      <c r="F1575">
        <v>78778.35</v>
      </c>
      <c r="G1575" t="s">
        <v>497</v>
      </c>
    </row>
    <row r="1576" spans="1:9">
      <c r="A1576" s="178">
        <v>80</v>
      </c>
      <c r="B1576" s="178" t="s">
        <v>413</v>
      </c>
      <c r="C1576" s="178">
        <v>6676.19</v>
      </c>
      <c r="D1576" s="178">
        <v>0</v>
      </c>
      <c r="E1576" s="178">
        <v>6676.19</v>
      </c>
      <c r="F1576">
        <v>6676.19</v>
      </c>
      <c r="G1576" t="s">
        <v>497</v>
      </c>
    </row>
    <row r="1577" spans="1:9">
      <c r="A1577" s="178">
        <v>90</v>
      </c>
      <c r="B1577" s="178" t="s">
        <v>619</v>
      </c>
      <c r="C1577" s="178">
        <v>6304.28</v>
      </c>
      <c r="D1577" s="178">
        <v>0</v>
      </c>
      <c r="E1577" s="178">
        <v>6304.28</v>
      </c>
      <c r="F1577">
        <v>6304.28</v>
      </c>
      <c r="G1577" t="s">
        <v>497</v>
      </c>
    </row>
    <row r="1578" spans="1:9">
      <c r="A1578" s="178">
        <v>100</v>
      </c>
      <c r="B1578" s="178" t="s">
        <v>620</v>
      </c>
      <c r="C1578" s="178">
        <v>30891.06</v>
      </c>
      <c r="D1578" s="178">
        <v>0</v>
      </c>
      <c r="E1578" s="178">
        <v>30891.06</v>
      </c>
      <c r="F1578">
        <v>30891.06</v>
      </c>
      <c r="G1578" t="s">
        <v>497</v>
      </c>
    </row>
    <row r="1579" spans="1:9">
      <c r="A1579" s="178">
        <v>110</v>
      </c>
      <c r="B1579" s="178" t="s">
        <v>621</v>
      </c>
      <c r="C1579" s="178">
        <v>0</v>
      </c>
      <c r="D1579" s="178">
        <v>0</v>
      </c>
      <c r="E1579" s="178">
        <v>0</v>
      </c>
      <c r="F1579">
        <v>0</v>
      </c>
      <c r="G1579" t="s">
        <v>497</v>
      </c>
    </row>
    <row r="1580" spans="1:9">
      <c r="A1580" s="178">
        <v>120</v>
      </c>
      <c r="B1580" s="178" t="s">
        <v>622</v>
      </c>
      <c r="C1580" s="178">
        <v>-2406.17</v>
      </c>
      <c r="D1580" s="178">
        <v>0</v>
      </c>
      <c r="E1580" s="178">
        <v>-2406.17</v>
      </c>
      <c r="F1580">
        <v>-2406.17</v>
      </c>
      <c r="G1580" t="s">
        <v>497</v>
      </c>
    </row>
    <row r="1581" spans="1:9">
      <c r="A1581" s="178">
        <v>130</v>
      </c>
      <c r="B1581" s="178" t="s">
        <v>623</v>
      </c>
      <c r="C1581" s="178">
        <v>0</v>
      </c>
      <c r="D1581" s="178">
        <v>0</v>
      </c>
      <c r="E1581" s="178">
        <v>0</v>
      </c>
      <c r="F1581">
        <v>0</v>
      </c>
      <c r="G1581" t="s">
        <v>497</v>
      </c>
    </row>
    <row r="1582" spans="1:9">
      <c r="A1582" s="178">
        <v>140</v>
      </c>
      <c r="B1582" s="178" t="s">
        <v>624</v>
      </c>
      <c r="C1582" s="178">
        <v>0</v>
      </c>
      <c r="D1582" s="178">
        <v>0</v>
      </c>
      <c r="E1582" s="178">
        <v>0</v>
      </c>
      <c r="F1582">
        <v>0</v>
      </c>
      <c r="G1582" t="s">
        <v>497</v>
      </c>
    </row>
    <row r="1583" spans="1:9">
      <c r="A1583" s="178">
        <v>145</v>
      </c>
      <c r="B1583" s="178" t="s">
        <v>422</v>
      </c>
      <c r="C1583" s="178">
        <v>-2406.17</v>
      </c>
      <c r="D1583" s="178">
        <v>0</v>
      </c>
      <c r="E1583" s="178">
        <v>-2406.17</v>
      </c>
      <c r="F1583">
        <v>-2406.17</v>
      </c>
      <c r="G1583" t="s">
        <v>497</v>
      </c>
    </row>
    <row r="1584" spans="1:9">
      <c r="A1584" s="178">
        <v>150</v>
      </c>
      <c r="B1584" s="178" t="s">
        <v>625</v>
      </c>
      <c r="C1584" s="178">
        <v>33297.23</v>
      </c>
      <c r="D1584" s="178">
        <v>0</v>
      </c>
      <c r="E1584" s="178">
        <v>33297.23</v>
      </c>
      <c r="F1584">
        <v>33297.23</v>
      </c>
      <c r="G1584" t="s">
        <v>497</v>
      </c>
    </row>
    <row r="1585" spans="1:9">
      <c r="A1585" s="178">
        <v>160</v>
      </c>
      <c r="B1585" s="178" t="s">
        <v>626</v>
      </c>
      <c r="C1585" s="178">
        <v>0</v>
      </c>
      <c r="D1585" s="178">
        <v>0</v>
      </c>
      <c r="E1585" s="178">
        <v>0</v>
      </c>
      <c r="F1585">
        <v>0</v>
      </c>
      <c r="G1585" t="s">
        <v>497</v>
      </c>
    </row>
    <row r="1586" spans="1:9">
      <c r="A1586" s="178">
        <v>170</v>
      </c>
      <c r="B1586" s="178" t="s">
        <v>426</v>
      </c>
      <c r="C1586" s="178">
        <v>33297.23</v>
      </c>
      <c r="D1586" s="178">
        <v>0</v>
      </c>
      <c r="E1586" s="178">
        <v>33297.23</v>
      </c>
      <c r="F1586">
        <v>33297.23</v>
      </c>
      <c r="G1586" t="s">
        <v>497</v>
      </c>
    </row>
    <row r="1587" spans="1:9">
      <c r="A1587" s="178">
        <v>190</v>
      </c>
      <c r="B1587" s="178" t="s">
        <v>627</v>
      </c>
      <c r="C1587" s="178">
        <v>0</v>
      </c>
      <c r="D1587" s="178">
        <v>0</v>
      </c>
      <c r="E1587" s="178">
        <v>0</v>
      </c>
      <c r="F1587">
        <v>0</v>
      </c>
      <c r="G1587" t="s">
        <v>497</v>
      </c>
    </row>
    <row r="1588" spans="1:9">
      <c r="A1588" s="178">
        <v>200</v>
      </c>
      <c r="B1588" s="178" t="s">
        <v>426</v>
      </c>
      <c r="C1588" s="178">
        <v>33297.23</v>
      </c>
      <c r="D1588" s="178">
        <v>0</v>
      </c>
      <c r="E1588" s="178">
        <v>33297.23</v>
      </c>
      <c r="F1588">
        <v>33297.23</v>
      </c>
      <c r="G1588" t="s">
        <v>497</v>
      </c>
    </row>
    <row r="1589" spans="1:9">
      <c r="A1589" s="178">
        <v>210</v>
      </c>
      <c r="B1589" s="178" t="s">
        <v>264</v>
      </c>
      <c r="C1589" s="178">
        <v>33297.23</v>
      </c>
      <c r="D1589" s="178">
        <v>0</v>
      </c>
      <c r="E1589" s="178">
        <v>33297.23</v>
      </c>
      <c r="F1589">
        <v>33297.23</v>
      </c>
      <c r="G1589" t="s">
        <v>497</v>
      </c>
    </row>
    <row r="1590" spans="1:9">
      <c r="A1590" s="178">
        <v>220</v>
      </c>
      <c r="B1590" s="178" t="s">
        <v>628</v>
      </c>
      <c r="C1590" s="178">
        <v>0</v>
      </c>
      <c r="D1590" s="178">
        <v>0</v>
      </c>
      <c r="E1590" s="178">
        <v>0</v>
      </c>
      <c r="F1590">
        <v>0</v>
      </c>
      <c r="G1590" t="s">
        <v>497</v>
      </c>
    </row>
    <row r="1591" spans="1:9">
      <c r="A1591" s="178">
        <v>230</v>
      </c>
      <c r="B1591" s="178" t="s">
        <v>266</v>
      </c>
      <c r="C1591" s="178">
        <v>-26540.12</v>
      </c>
      <c r="D1591" s="178">
        <v>-168125.8</v>
      </c>
      <c r="E1591" s="178">
        <v>-194665.92</v>
      </c>
      <c r="F1591">
        <v>-26540.12</v>
      </c>
      <c r="G1591" t="s">
        <v>497</v>
      </c>
    </row>
    <row r="1592" spans="1:9">
      <c r="A1592" s="178">
        <v>235</v>
      </c>
      <c r="B1592" s="178" t="s">
        <v>629</v>
      </c>
      <c r="C1592" s="178">
        <v>0</v>
      </c>
      <c r="D1592" s="178">
        <v>-915</v>
      </c>
      <c r="E1592" s="178">
        <v>-915</v>
      </c>
      <c r="F1592">
        <v>0</v>
      </c>
      <c r="G1592" t="s">
        <v>497</v>
      </c>
    </row>
    <row r="1593" spans="1:9">
      <c r="A1593" s="178">
        <v>240</v>
      </c>
      <c r="B1593" s="178" t="s">
        <v>267</v>
      </c>
      <c r="C1593" s="178">
        <v>0</v>
      </c>
      <c r="D1593" s="178">
        <v>-1257.61</v>
      </c>
      <c r="E1593" s="178">
        <v>-1257.61</v>
      </c>
      <c r="F1593">
        <v>0</v>
      </c>
      <c r="G1593" t="s">
        <v>497</v>
      </c>
    </row>
    <row r="1594" spans="1:9">
      <c r="A1594" s="178">
        <v>250</v>
      </c>
      <c r="B1594" s="178" t="s">
        <v>268</v>
      </c>
      <c r="C1594" s="178">
        <v>-2774.17</v>
      </c>
      <c r="D1594" s="178">
        <v>-17356.4</v>
      </c>
      <c r="E1594" s="178">
        <v>-20130.57</v>
      </c>
      <c r="F1594">
        <v>-2774.17</v>
      </c>
      <c r="G1594" t="s">
        <v>497</v>
      </c>
    </row>
    <row r="1595" spans="1:9">
      <c r="A1595" s="178">
        <v>260</v>
      </c>
      <c r="B1595" s="178"/>
      <c r="C1595" s="178">
        <v>0</v>
      </c>
      <c r="D1595" s="178">
        <v>0</v>
      </c>
      <c r="E1595" s="178">
        <v>0</v>
      </c>
      <c r="F1595">
        <v>0</v>
      </c>
      <c r="G1595" t="s">
        <v>497</v>
      </c>
    </row>
    <row r="1596" spans="1:9">
      <c r="A1596" s="178">
        <v>270</v>
      </c>
      <c r="B1596" s="178" t="s">
        <v>269</v>
      </c>
      <c r="C1596" s="178">
        <v>1227.11</v>
      </c>
      <c r="D1596" s="178">
        <v>-47531.52</v>
      </c>
      <c r="E1596" s="178">
        <v>-46304.41</v>
      </c>
      <c r="F1596">
        <v>1227.11</v>
      </c>
      <c r="G1596" t="s">
        <v>497</v>
      </c>
    </row>
    <row r="1597" spans="1:9">
      <c r="A1597" s="178">
        <v>300</v>
      </c>
      <c r="B1597" s="178" t="s">
        <v>270</v>
      </c>
      <c r="C1597" s="178">
        <v>5350.2</v>
      </c>
      <c r="D1597" s="178">
        <v>6102.12</v>
      </c>
      <c r="E1597" s="178">
        <v>11452.32</v>
      </c>
      <c r="F1597">
        <v>5350.2</v>
      </c>
      <c r="G1597" t="s">
        <v>497</v>
      </c>
    </row>
    <row r="1598" spans="1:9">
      <c r="A1598" s="178">
        <v>310</v>
      </c>
      <c r="B1598" s="178" t="s">
        <v>631</v>
      </c>
      <c r="C1598" s="178">
        <v>0</v>
      </c>
      <c r="D1598" s="178">
        <v>0</v>
      </c>
      <c r="E1598" s="178">
        <v>0</v>
      </c>
      <c r="F1598">
        <v>0</v>
      </c>
      <c r="G1598" t="s">
        <v>497</v>
      </c>
    </row>
    <row r="1599" spans="1:9">
      <c r="A1599" s="178">
        <v>320</v>
      </c>
      <c r="B1599" s="178" t="s">
        <v>271</v>
      </c>
      <c r="C1599" s="178">
        <v>184.55</v>
      </c>
      <c r="D1599" s="178">
        <v>-377.99</v>
      </c>
      <c r="E1599" s="178">
        <v>-193.44</v>
      </c>
      <c r="F1599">
        <v>184.55</v>
      </c>
      <c r="G1599" t="s">
        <v>497</v>
      </c>
    </row>
    <row r="1600" spans="1:9">
      <c r="A1600" s="178">
        <v>325</v>
      </c>
      <c r="B1600" s="178" t="s">
        <v>272</v>
      </c>
      <c r="C1600" s="178">
        <v>9276.64</v>
      </c>
      <c r="D1600" s="178">
        <v>42051.93</v>
      </c>
      <c r="E1600" s="178">
        <v>51328.57</v>
      </c>
      <c r="F1600">
        <v>9276.64</v>
      </c>
      <c r="G1600" t="s">
        <v>497</v>
      </c>
    </row>
    <row r="1601" spans="1:9">
      <c r="A1601" s="178">
        <v>330</v>
      </c>
      <c r="B1601" s="178" t="s">
        <v>691</v>
      </c>
      <c r="C1601" s="178">
        <v>-194595.45</v>
      </c>
      <c r="D1601" s="178">
        <v>1830910.91</v>
      </c>
      <c r="E1601" s="178">
        <v>1636315.46</v>
      </c>
      <c r="F1601">
        <v>-194595.45</v>
      </c>
      <c r="G1601" t="s">
        <v>497</v>
      </c>
    </row>
    <row r="1602" spans="1:9">
      <c r="A1602" s="178">
        <v>340</v>
      </c>
      <c r="B1602" s="178" t="s">
        <v>633</v>
      </c>
      <c r="C1602" s="178">
        <v>-2035.2</v>
      </c>
      <c r="D1602" s="178">
        <v>14108.38</v>
      </c>
      <c r="E1602" s="178">
        <v>12073.18</v>
      </c>
      <c r="F1602">
        <v>-2035.2</v>
      </c>
      <c r="G1602" t="s">
        <v>497</v>
      </c>
    </row>
    <row r="1603" spans="1:9">
      <c r="A1603" s="178">
        <v>380</v>
      </c>
      <c r="B1603" s="178" t="s">
        <v>634</v>
      </c>
      <c r="C1603" s="178">
        <v>-209906.44</v>
      </c>
      <c r="D1603" s="178">
        <v>1657609.02</v>
      </c>
      <c r="E1603" s="178">
        <v>1447702.58</v>
      </c>
      <c r="F1603">
        <v>-209906.44</v>
      </c>
      <c r="G1603" t="s">
        <v>497</v>
      </c>
    </row>
    <row r="1604" spans="1:9">
      <c r="A1604" s="178">
        <v>390</v>
      </c>
      <c r="B1604" s="178" t="s">
        <v>273</v>
      </c>
      <c r="C1604" s="178">
        <v>0</v>
      </c>
      <c r="D1604" s="178">
        <v>0</v>
      </c>
      <c r="E1604" s="178">
        <v>0</v>
      </c>
      <c r="F1604">
        <v>0</v>
      </c>
      <c r="G1604" t="s">
        <v>497</v>
      </c>
    </row>
    <row r="1605" spans="1:9">
      <c r="A1605" s="178">
        <v>400</v>
      </c>
      <c r="B1605" s="178" t="s">
        <v>274</v>
      </c>
      <c r="C1605" s="178">
        <v>0</v>
      </c>
      <c r="D1605" s="178">
        <v>0</v>
      </c>
      <c r="E1605" s="178">
        <v>0</v>
      </c>
      <c r="F1605">
        <v>0</v>
      </c>
      <c r="G1605" t="s">
        <v>497</v>
      </c>
    </row>
    <row r="1606" spans="1:9">
      <c r="A1606" s="178">
        <v>405</v>
      </c>
      <c r="B1606" s="178" t="s">
        <v>275</v>
      </c>
      <c r="C1606" s="178">
        <v>0</v>
      </c>
      <c r="D1606" s="178">
        <v>213700</v>
      </c>
      <c r="E1606" s="178">
        <v>213700</v>
      </c>
      <c r="F1606">
        <v>0</v>
      </c>
      <c r="G1606" t="s">
        <v>497</v>
      </c>
    </row>
    <row r="1607" spans="1:9">
      <c r="A1607" s="178">
        <v>410</v>
      </c>
      <c r="B1607" s="178" t="s">
        <v>276</v>
      </c>
      <c r="C1607" s="178">
        <v>0</v>
      </c>
      <c r="D1607" s="178">
        <v>1000</v>
      </c>
      <c r="E1607" s="178">
        <v>1000</v>
      </c>
      <c r="F1607">
        <v>0</v>
      </c>
      <c r="G1607" t="s">
        <v>497</v>
      </c>
    </row>
    <row r="1608" spans="1:9">
      <c r="A1608" s="178">
        <v>420</v>
      </c>
      <c r="B1608" s="178" t="s">
        <v>277</v>
      </c>
      <c r="C1608" s="178">
        <v>0</v>
      </c>
      <c r="D1608" s="178">
        <v>399500</v>
      </c>
      <c r="E1608" s="178">
        <v>399500</v>
      </c>
      <c r="F1608">
        <v>0</v>
      </c>
      <c r="G1608" t="s">
        <v>497</v>
      </c>
    </row>
    <row r="1609" spans="1:9">
      <c r="A1609" s="178">
        <v>425</v>
      </c>
      <c r="B1609" s="178" t="s">
        <v>635</v>
      </c>
      <c r="C1609" s="178">
        <v>0</v>
      </c>
      <c r="D1609" s="178">
        <v>0</v>
      </c>
      <c r="E1609" s="178">
        <v>0</v>
      </c>
      <c r="F1609">
        <v>0</v>
      </c>
      <c r="G1609" t="s">
        <v>497</v>
      </c>
    </row>
    <row r="1610" spans="1:9">
      <c r="A1610" s="178">
        <v>427</v>
      </c>
      <c r="B1610" s="178" t="s">
        <v>636</v>
      </c>
      <c r="C1610" s="178">
        <v>0</v>
      </c>
      <c r="D1610" s="178">
        <v>0</v>
      </c>
      <c r="E1610" s="178">
        <v>0</v>
      </c>
      <c r="F1610">
        <v>0</v>
      </c>
      <c r="G1610" t="s">
        <v>497</v>
      </c>
    </row>
    <row r="1611" spans="1:9">
      <c r="A1611" s="178">
        <v>430</v>
      </c>
      <c r="B1611" s="178" t="s">
        <v>279</v>
      </c>
      <c r="C1611" s="178">
        <v>0</v>
      </c>
      <c r="D1611" s="178">
        <v>-1660519.36</v>
      </c>
      <c r="E1611" s="178">
        <v>-1660519.36</v>
      </c>
      <c r="F1611">
        <v>0</v>
      </c>
      <c r="G1611" t="s">
        <v>497</v>
      </c>
    </row>
    <row r="1612" spans="1:9">
      <c r="A1612" s="178">
        <v>440</v>
      </c>
      <c r="B1612" s="178" t="s">
        <v>280</v>
      </c>
      <c r="C1612" s="178">
        <v>0</v>
      </c>
      <c r="D1612" s="178">
        <v>-1046319.36</v>
      </c>
      <c r="E1612" s="178">
        <v>-1046319.36</v>
      </c>
      <c r="F1612">
        <v>0</v>
      </c>
      <c r="G1612" t="s">
        <v>497</v>
      </c>
    </row>
    <row r="1613" spans="1:9">
      <c r="A1613" s="178">
        <v>450</v>
      </c>
      <c r="B1613" s="178" t="s">
        <v>281</v>
      </c>
      <c r="C1613" s="178">
        <v>0</v>
      </c>
      <c r="D1613" s="178">
        <v>0</v>
      </c>
      <c r="E1613" s="178">
        <v>0</v>
      </c>
      <c r="F1613">
        <v>0</v>
      </c>
      <c r="G1613" t="s">
        <v>497</v>
      </c>
    </row>
    <row r="1614" spans="1:9">
      <c r="A1614" s="178">
        <v>455</v>
      </c>
      <c r="B1614" s="178" t="s">
        <v>282</v>
      </c>
      <c r="C1614" s="178">
        <v>0</v>
      </c>
      <c r="D1614" s="178">
        <v>0</v>
      </c>
      <c r="E1614" s="178">
        <v>0</v>
      </c>
      <c r="F1614">
        <v>0</v>
      </c>
      <c r="G1614" t="s">
        <v>497</v>
      </c>
    </row>
    <row r="1615" spans="1:9">
      <c r="A1615" s="178">
        <v>456</v>
      </c>
      <c r="B1615" s="178" t="s">
        <v>637</v>
      </c>
      <c r="C1615" s="178">
        <v>0</v>
      </c>
      <c r="D1615" s="178">
        <v>0</v>
      </c>
      <c r="E1615" s="178">
        <v>0</v>
      </c>
      <c r="F1615">
        <v>0</v>
      </c>
      <c r="G1615" t="s">
        <v>497</v>
      </c>
    </row>
    <row r="1616" spans="1:9">
      <c r="A1616" s="178">
        <v>460</v>
      </c>
      <c r="B1616" s="178" t="s">
        <v>283</v>
      </c>
      <c r="C1616" s="178">
        <v>0</v>
      </c>
      <c r="D1616" s="178">
        <v>-508287.14</v>
      </c>
      <c r="E1616" s="178">
        <v>-508287.14</v>
      </c>
      <c r="F1616">
        <v>0</v>
      </c>
      <c r="G1616" t="s">
        <v>497</v>
      </c>
    </row>
    <row r="1617" spans="1:9">
      <c r="A1617" s="178">
        <v>470</v>
      </c>
      <c r="B1617" s="178" t="s">
        <v>638</v>
      </c>
      <c r="C1617" s="178">
        <v>5887.62</v>
      </c>
      <c r="D1617" s="178">
        <v>446857.87</v>
      </c>
      <c r="E1617" s="178">
        <v>452745.49</v>
      </c>
      <c r="F1617">
        <v>5887.62</v>
      </c>
      <c r="G1617" t="s">
        <v>497</v>
      </c>
    </row>
    <row r="1618" spans="1:9">
      <c r="A1618" s="178">
        <v>480</v>
      </c>
      <c r="B1618" s="178" t="s">
        <v>284</v>
      </c>
      <c r="C1618" s="178">
        <v>0</v>
      </c>
      <c r="D1618" s="178">
        <v>0</v>
      </c>
      <c r="E1618" s="178">
        <v>0</v>
      </c>
      <c r="F1618">
        <v>0</v>
      </c>
      <c r="G1618" t="s">
        <v>497</v>
      </c>
    </row>
    <row r="1619" spans="1:9">
      <c r="A1619" s="178">
        <v>490</v>
      </c>
      <c r="B1619" s="178" t="s">
        <v>639</v>
      </c>
      <c r="C1619" s="178">
        <v>0</v>
      </c>
      <c r="D1619" s="178">
        <v>0</v>
      </c>
      <c r="E1619" s="178">
        <v>0</v>
      </c>
      <c r="F1619">
        <v>0</v>
      </c>
      <c r="G1619" t="s">
        <v>497</v>
      </c>
    </row>
    <row r="1620" spans="1:9">
      <c r="A1620" s="178">
        <v>500</v>
      </c>
      <c r="B1620" s="178" t="s">
        <v>285</v>
      </c>
      <c r="C1620" s="178">
        <v>0</v>
      </c>
      <c r="D1620" s="178">
        <v>0</v>
      </c>
      <c r="E1620" s="178">
        <v>0</v>
      </c>
      <c r="F1620">
        <v>0</v>
      </c>
      <c r="G1620" t="s">
        <v>497</v>
      </c>
    </row>
    <row r="1621" spans="1:9">
      <c r="A1621" s="178">
        <v>510</v>
      </c>
      <c r="B1621" s="178" t="s">
        <v>640</v>
      </c>
      <c r="C1621" s="178">
        <v>0</v>
      </c>
      <c r="D1621" s="178">
        <v>0</v>
      </c>
      <c r="E1621" s="178">
        <v>0</v>
      </c>
      <c r="F1621">
        <v>0</v>
      </c>
      <c r="G1621" t="s">
        <v>497</v>
      </c>
    </row>
    <row r="1622" spans="1:9">
      <c r="A1622" s="178">
        <v>512</v>
      </c>
      <c r="B1622" s="178" t="s">
        <v>286</v>
      </c>
      <c r="C1622" s="178">
        <v>0</v>
      </c>
      <c r="D1622" s="178">
        <v>0</v>
      </c>
      <c r="E1622" s="178">
        <v>0</v>
      </c>
      <c r="F1622">
        <v>0</v>
      </c>
      <c r="G1622" t="s">
        <v>497</v>
      </c>
    </row>
    <row r="1623" spans="1:9">
      <c r="A1623" s="178">
        <v>514</v>
      </c>
      <c r="B1623" s="178" t="s">
        <v>641</v>
      </c>
      <c r="C1623" s="178">
        <v>0</v>
      </c>
      <c r="D1623" s="178">
        <v>0</v>
      </c>
      <c r="E1623" s="178">
        <v>0</v>
      </c>
      <c r="F1623">
        <v>0</v>
      </c>
      <c r="G1623" t="s">
        <v>497</v>
      </c>
    </row>
    <row r="1624" spans="1:9">
      <c r="A1624" s="178">
        <v>520</v>
      </c>
      <c r="B1624" s="178" t="s">
        <v>642</v>
      </c>
      <c r="C1624" s="178">
        <v>0</v>
      </c>
      <c r="D1624" s="178">
        <v>0</v>
      </c>
      <c r="E1624" s="178">
        <v>0</v>
      </c>
      <c r="F1624">
        <v>0</v>
      </c>
      <c r="G1624" t="s">
        <v>497</v>
      </c>
    </row>
    <row r="1625" spans="1:9">
      <c r="A1625" s="178">
        <v>530</v>
      </c>
      <c r="B1625" s="178" t="s">
        <v>643</v>
      </c>
      <c r="C1625" s="178">
        <v>0</v>
      </c>
      <c r="D1625" s="178">
        <v>0</v>
      </c>
      <c r="E1625" s="178">
        <v>0</v>
      </c>
      <c r="F1625">
        <v>0</v>
      </c>
      <c r="G1625" t="s">
        <v>497</v>
      </c>
    </row>
    <row r="1626" spans="1:9">
      <c r="A1626" s="178">
        <v>540</v>
      </c>
      <c r="B1626" s="178" t="s">
        <v>644</v>
      </c>
      <c r="C1626" s="178">
        <v>0</v>
      </c>
      <c r="D1626" s="178">
        <v>-34400</v>
      </c>
      <c r="E1626" s="178">
        <v>-34400</v>
      </c>
      <c r="F1626">
        <v>0</v>
      </c>
      <c r="G1626" t="s">
        <v>497</v>
      </c>
    </row>
    <row r="1627" spans="1:9">
      <c r="A1627" s="178">
        <v>550</v>
      </c>
      <c r="B1627" s="178" t="s">
        <v>645</v>
      </c>
      <c r="C1627" s="178">
        <v>0</v>
      </c>
      <c r="D1627" s="178">
        <v>0</v>
      </c>
      <c r="E1627" s="178">
        <v>0</v>
      </c>
      <c r="F1627">
        <v>0</v>
      </c>
      <c r="G1627" t="s">
        <v>497</v>
      </c>
    </row>
    <row r="1628" spans="1:9">
      <c r="A1628" s="178">
        <v>560</v>
      </c>
      <c r="B1628" s="178" t="s">
        <v>646</v>
      </c>
      <c r="C1628" s="178">
        <v>-500</v>
      </c>
      <c r="D1628" s="178">
        <v>-119497.01</v>
      </c>
      <c r="E1628" s="178">
        <v>-119997.01</v>
      </c>
      <c r="F1628">
        <v>-500</v>
      </c>
      <c r="G1628" t="s">
        <v>497</v>
      </c>
    </row>
    <row r="1629" spans="1:9">
      <c r="A1629" s="178">
        <v>570</v>
      </c>
      <c r="B1629" s="178" t="s">
        <v>647</v>
      </c>
      <c r="C1629" s="178">
        <v>0</v>
      </c>
      <c r="D1629" s="178">
        <v>0</v>
      </c>
      <c r="E1629" s="178">
        <v>0</v>
      </c>
      <c r="F1629">
        <v>0</v>
      </c>
      <c r="G1629" t="s">
        <v>497</v>
      </c>
    </row>
    <row r="1630" spans="1:9">
      <c r="A1630" s="178">
        <v>580</v>
      </c>
      <c r="B1630" s="178" t="s">
        <v>290</v>
      </c>
      <c r="C1630" s="178">
        <v>0</v>
      </c>
      <c r="D1630" s="178">
        <v>0</v>
      </c>
      <c r="E1630" s="178">
        <v>0</v>
      </c>
      <c r="F1630">
        <v>0</v>
      </c>
      <c r="G1630" t="s">
        <v>497</v>
      </c>
    </row>
    <row r="1631" spans="1:9">
      <c r="A1631" s="178">
        <v>590</v>
      </c>
      <c r="B1631" s="178" t="s">
        <v>648</v>
      </c>
      <c r="C1631" s="178">
        <v>0</v>
      </c>
      <c r="D1631" s="178">
        <v>0</v>
      </c>
      <c r="E1631" s="178">
        <v>0</v>
      </c>
      <c r="F1631">
        <v>0</v>
      </c>
      <c r="G1631" t="s">
        <v>497</v>
      </c>
    </row>
    <row r="1632" spans="1:9">
      <c r="A1632" s="178">
        <v>600</v>
      </c>
      <c r="B1632" s="178" t="s">
        <v>291</v>
      </c>
      <c r="C1632" s="178">
        <v>-580.64</v>
      </c>
      <c r="D1632" s="178">
        <v>-367787.02</v>
      </c>
      <c r="E1632" s="178">
        <v>-368367.66</v>
      </c>
      <c r="F1632">
        <v>-580.64</v>
      </c>
      <c r="G1632" t="s">
        <v>497</v>
      </c>
    </row>
    <row r="1633" spans="1:9">
      <c r="A1633" s="178">
        <v>610</v>
      </c>
      <c r="B1633" s="178" t="s">
        <v>649</v>
      </c>
      <c r="C1633" s="178">
        <v>416.66</v>
      </c>
      <c r="D1633" s="178">
        <v>346583.71</v>
      </c>
      <c r="E1633" s="178">
        <v>347000.37</v>
      </c>
      <c r="F1633">
        <v>416.66</v>
      </c>
      <c r="G1633" t="s">
        <v>497</v>
      </c>
    </row>
    <row r="1634" spans="1:9">
      <c r="A1634" s="178">
        <v>615</v>
      </c>
      <c r="B1634" s="178" t="s">
        <v>674</v>
      </c>
      <c r="C1634" s="178">
        <v>0</v>
      </c>
      <c r="D1634" s="178">
        <v>0</v>
      </c>
      <c r="E1634" s="178">
        <v>0</v>
      </c>
      <c r="F1634">
        <v>0</v>
      </c>
      <c r="G1634" t="s">
        <v>497</v>
      </c>
    </row>
    <row r="1635" spans="1:9">
      <c r="A1635" s="178">
        <v>620</v>
      </c>
      <c r="B1635" s="178" t="s">
        <v>292</v>
      </c>
      <c r="C1635" s="178">
        <v>0</v>
      </c>
      <c r="D1635" s="178">
        <v>0</v>
      </c>
      <c r="E1635" s="178">
        <v>0</v>
      </c>
      <c r="F1635">
        <v>0</v>
      </c>
      <c r="G1635" t="s">
        <v>497</v>
      </c>
    </row>
    <row r="1636" spans="1:9">
      <c r="A1636" s="178">
        <v>630</v>
      </c>
      <c r="B1636" s="178" t="s">
        <v>293</v>
      </c>
      <c r="C1636" s="178">
        <v>0</v>
      </c>
      <c r="D1636" s="178">
        <v>-56769</v>
      </c>
      <c r="E1636" s="178">
        <v>-56769</v>
      </c>
      <c r="F1636">
        <v>0</v>
      </c>
      <c r="G1636" t="s">
        <v>497</v>
      </c>
    </row>
    <row r="1637" spans="1:9">
      <c r="A1637" s="178">
        <v>635</v>
      </c>
      <c r="B1637" s="178" t="s">
        <v>675</v>
      </c>
      <c r="C1637" s="178">
        <v>0</v>
      </c>
      <c r="D1637" s="178">
        <v>0</v>
      </c>
      <c r="E1637" s="178">
        <v>0</v>
      </c>
      <c r="F1637">
        <v>0</v>
      </c>
      <c r="G1637" t="s">
        <v>497</v>
      </c>
    </row>
    <row r="1638" spans="1:9">
      <c r="A1638" s="178">
        <v>640</v>
      </c>
      <c r="B1638" s="178" t="s">
        <v>294</v>
      </c>
      <c r="C1638" s="178">
        <v>5223.64</v>
      </c>
      <c r="D1638" s="178">
        <v>-293298.59</v>
      </c>
      <c r="E1638" s="178">
        <v>-288074.95</v>
      </c>
      <c r="F1638">
        <v>5223.64</v>
      </c>
      <c r="G1638" t="s">
        <v>497</v>
      </c>
    </row>
    <row r="1639" spans="1:9">
      <c r="A1639" s="178">
        <v>650</v>
      </c>
      <c r="B1639" s="178" t="s">
        <v>295</v>
      </c>
      <c r="C1639" s="178">
        <v>-171385.57</v>
      </c>
      <c r="D1639" s="178">
        <v>317991.07</v>
      </c>
      <c r="E1639" s="178">
        <v>146605.5</v>
      </c>
      <c r="F1639">
        <v>-171385.57</v>
      </c>
      <c r="G1639" t="s">
        <v>497</v>
      </c>
    </row>
    <row r="1640" spans="1:9">
      <c r="A1640" s="178" t="s">
        <v>484</v>
      </c>
      <c r="B1640" s="178" t="s">
        <v>402</v>
      </c>
      <c r="C1640" s="178" t="s">
        <v>609</v>
      </c>
      <c r="D1640" s="178" t="s">
        <v>610</v>
      </c>
      <c r="E1640" s="178" t="s">
        <v>611</v>
      </c>
      <c r="F1640" t="s">
        <v>612</v>
      </c>
      <c r="G1640" t="s">
        <v>405</v>
      </c>
    </row>
    <row r="1641" spans="1:9">
      <c r="A1641" s="178">
        <v>10</v>
      </c>
      <c r="B1641" s="178" t="s">
        <v>613</v>
      </c>
      <c r="C1641" s="178">
        <v>0</v>
      </c>
      <c r="D1641" s="178">
        <v>0</v>
      </c>
      <c r="E1641" s="178">
        <v>0</v>
      </c>
      <c r="F1641">
        <v>0</v>
      </c>
      <c r="G1641" t="s">
        <v>497</v>
      </c>
    </row>
    <row r="1642" spans="1:9">
      <c r="A1642" s="178">
        <v>20</v>
      </c>
      <c r="B1642" s="178" t="s">
        <v>406</v>
      </c>
      <c r="C1642" s="178">
        <v>29854.59</v>
      </c>
      <c r="D1642" s="178">
        <v>0</v>
      </c>
      <c r="E1642" s="178">
        <v>29854.59</v>
      </c>
      <c r="F1642">
        <v>29854.59</v>
      </c>
      <c r="G1642" t="s">
        <v>497</v>
      </c>
    </row>
    <row r="1643" spans="1:9">
      <c r="A1643" s="178">
        <v>30</v>
      </c>
      <c r="B1643" s="178" t="s">
        <v>614</v>
      </c>
      <c r="C1643" s="178">
        <v>0</v>
      </c>
      <c r="D1643" s="178">
        <v>0</v>
      </c>
      <c r="E1643" s="178">
        <v>0</v>
      </c>
      <c r="F1643">
        <v>0</v>
      </c>
      <c r="G1643" t="s">
        <v>497</v>
      </c>
    </row>
    <row r="1644" spans="1:9">
      <c r="A1644" s="178">
        <v>35</v>
      </c>
      <c r="B1644" s="178" t="s">
        <v>615</v>
      </c>
      <c r="C1644" s="178">
        <v>29854.59</v>
      </c>
      <c r="D1644" s="178">
        <v>0</v>
      </c>
      <c r="E1644" s="178">
        <v>29854.59</v>
      </c>
      <c r="F1644">
        <v>29854.59</v>
      </c>
      <c r="G1644" t="s">
        <v>497</v>
      </c>
    </row>
    <row r="1645" spans="1:9">
      <c r="A1645" s="178">
        <v>40</v>
      </c>
      <c r="B1645" s="178" t="s">
        <v>616</v>
      </c>
      <c r="C1645" s="178">
        <v>0</v>
      </c>
      <c r="D1645" s="178">
        <v>0</v>
      </c>
      <c r="E1645" s="178">
        <v>0</v>
      </c>
      <c r="F1645">
        <v>0</v>
      </c>
      <c r="G1645" t="s">
        <v>497</v>
      </c>
    </row>
    <row r="1646" spans="1:9">
      <c r="A1646" s="178">
        <v>50</v>
      </c>
      <c r="B1646" s="178" t="s">
        <v>617</v>
      </c>
      <c r="C1646" s="178">
        <v>0</v>
      </c>
      <c r="D1646" s="178">
        <v>0</v>
      </c>
      <c r="E1646" s="178">
        <v>0</v>
      </c>
      <c r="F1646">
        <v>0</v>
      </c>
      <c r="G1646" t="s">
        <v>497</v>
      </c>
    </row>
    <row r="1647" spans="1:9">
      <c r="A1647" s="178">
        <v>60</v>
      </c>
      <c r="B1647" s="178" t="s">
        <v>618</v>
      </c>
      <c r="C1647" s="178">
        <v>29854.59</v>
      </c>
      <c r="D1647" s="178">
        <v>0</v>
      </c>
      <c r="E1647" s="178">
        <v>29854.59</v>
      </c>
      <c r="F1647">
        <v>29854.59</v>
      </c>
      <c r="G1647" t="s">
        <v>497</v>
      </c>
    </row>
    <row r="1648" spans="1:9">
      <c r="A1648" s="178">
        <v>70</v>
      </c>
      <c r="B1648" s="178" t="s">
        <v>412</v>
      </c>
      <c r="C1648" s="178">
        <v>9370.68</v>
      </c>
      <c r="D1648" s="178">
        <v>0</v>
      </c>
      <c r="E1648" s="178">
        <v>9370.68</v>
      </c>
      <c r="F1648">
        <v>9370.68</v>
      </c>
      <c r="G1648" t="s">
        <v>497</v>
      </c>
    </row>
    <row r="1649" spans="1:9">
      <c r="A1649" s="178">
        <v>80</v>
      </c>
      <c r="B1649" s="178" t="s">
        <v>413</v>
      </c>
      <c r="C1649" s="178">
        <v>0</v>
      </c>
      <c r="D1649" s="178">
        <v>0</v>
      </c>
      <c r="E1649" s="178">
        <v>0</v>
      </c>
      <c r="F1649">
        <v>0</v>
      </c>
      <c r="G1649" t="s">
        <v>497</v>
      </c>
    </row>
    <row r="1650" spans="1:9">
      <c r="A1650" s="178">
        <v>90</v>
      </c>
      <c r="B1650" s="178" t="s">
        <v>619</v>
      </c>
      <c r="C1650" s="178">
        <v>2513.17</v>
      </c>
      <c r="D1650" s="178">
        <v>0</v>
      </c>
      <c r="E1650" s="178">
        <v>2513.17</v>
      </c>
      <c r="F1650">
        <v>2513.17</v>
      </c>
      <c r="G1650" t="s">
        <v>497</v>
      </c>
    </row>
    <row r="1651" spans="1:9">
      <c r="A1651" s="178">
        <v>100</v>
      </c>
      <c r="B1651" s="178" t="s">
        <v>620</v>
      </c>
      <c r="C1651" s="178">
        <v>17970.74</v>
      </c>
      <c r="D1651" s="178">
        <v>0</v>
      </c>
      <c r="E1651" s="178">
        <v>17970.74</v>
      </c>
      <c r="F1651">
        <v>17970.74</v>
      </c>
      <c r="G1651" t="s">
        <v>497</v>
      </c>
    </row>
    <row r="1652" spans="1:9">
      <c r="A1652" s="178">
        <v>110</v>
      </c>
      <c r="B1652" s="178" t="s">
        <v>621</v>
      </c>
      <c r="C1652" s="178">
        <v>0</v>
      </c>
      <c r="D1652" s="178">
        <v>0</v>
      </c>
      <c r="E1652" s="178">
        <v>0</v>
      </c>
      <c r="F1652">
        <v>0</v>
      </c>
      <c r="G1652" t="s">
        <v>497</v>
      </c>
    </row>
    <row r="1653" spans="1:9">
      <c r="A1653" s="178">
        <v>120</v>
      </c>
      <c r="B1653" s="178" t="s">
        <v>622</v>
      </c>
      <c r="C1653" s="178">
        <v>0</v>
      </c>
      <c r="D1653" s="178">
        <v>0</v>
      </c>
      <c r="E1653" s="178">
        <v>0</v>
      </c>
      <c r="F1653">
        <v>0</v>
      </c>
      <c r="G1653" t="s">
        <v>497</v>
      </c>
    </row>
    <row r="1654" spans="1:9">
      <c r="A1654" s="178">
        <v>130</v>
      </c>
      <c r="B1654" s="178" t="s">
        <v>623</v>
      </c>
      <c r="C1654" s="178">
        <v>2537.37</v>
      </c>
      <c r="D1654" s="178">
        <v>0</v>
      </c>
      <c r="E1654" s="178">
        <v>2537.37</v>
      </c>
      <c r="F1654">
        <v>2537.37</v>
      </c>
      <c r="G1654" t="s">
        <v>497</v>
      </c>
    </row>
    <row r="1655" spans="1:9">
      <c r="A1655" s="178">
        <v>140</v>
      </c>
      <c r="B1655" s="178" t="s">
        <v>624</v>
      </c>
      <c r="C1655" s="178">
        <v>0</v>
      </c>
      <c r="D1655" s="178">
        <v>0</v>
      </c>
      <c r="E1655" s="178">
        <v>0</v>
      </c>
      <c r="F1655">
        <v>0</v>
      </c>
      <c r="G1655" t="s">
        <v>497</v>
      </c>
    </row>
    <row r="1656" spans="1:9">
      <c r="A1656" s="178">
        <v>145</v>
      </c>
      <c r="B1656" s="178" t="s">
        <v>422</v>
      </c>
      <c r="C1656" s="178">
        <v>2537.37</v>
      </c>
      <c r="D1656" s="178">
        <v>0</v>
      </c>
      <c r="E1656" s="178">
        <v>2537.37</v>
      </c>
      <c r="F1656">
        <v>2537.37</v>
      </c>
      <c r="G1656" t="s">
        <v>497</v>
      </c>
    </row>
    <row r="1657" spans="1:9">
      <c r="A1657" s="178">
        <v>150</v>
      </c>
      <c r="B1657" s="178" t="s">
        <v>625</v>
      </c>
      <c r="C1657" s="178">
        <v>15433.37</v>
      </c>
      <c r="D1657" s="178">
        <v>0</v>
      </c>
      <c r="E1657" s="178">
        <v>15433.37</v>
      </c>
      <c r="F1657">
        <v>15433.37</v>
      </c>
      <c r="G1657" t="s">
        <v>497</v>
      </c>
    </row>
    <row r="1658" spans="1:9">
      <c r="A1658" s="178">
        <v>160</v>
      </c>
      <c r="B1658" s="178" t="s">
        <v>626</v>
      </c>
      <c r="C1658" s="178">
        <v>0</v>
      </c>
      <c r="D1658" s="178">
        <v>0</v>
      </c>
      <c r="E1658" s="178">
        <v>0</v>
      </c>
      <c r="F1658">
        <v>0</v>
      </c>
      <c r="G1658" t="s">
        <v>497</v>
      </c>
    </row>
    <row r="1659" spans="1:9">
      <c r="A1659" s="178">
        <v>170</v>
      </c>
      <c r="B1659" s="178" t="s">
        <v>426</v>
      </c>
      <c r="C1659" s="178">
        <v>15433.37</v>
      </c>
      <c r="D1659" s="178">
        <v>0</v>
      </c>
      <c r="E1659" s="178">
        <v>15433.37</v>
      </c>
      <c r="F1659">
        <v>15433.37</v>
      </c>
      <c r="G1659" t="s">
        <v>497</v>
      </c>
    </row>
    <row r="1660" spans="1:9">
      <c r="A1660" s="178">
        <v>190</v>
      </c>
      <c r="B1660" s="178" t="s">
        <v>627</v>
      </c>
      <c r="C1660" s="178">
        <v>0</v>
      </c>
      <c r="D1660" s="178">
        <v>0</v>
      </c>
      <c r="E1660" s="178">
        <v>0</v>
      </c>
      <c r="F1660">
        <v>0</v>
      </c>
      <c r="G1660" t="s">
        <v>497</v>
      </c>
    </row>
    <row r="1661" spans="1:9">
      <c r="A1661" s="178">
        <v>200</v>
      </c>
      <c r="B1661" s="178" t="s">
        <v>426</v>
      </c>
      <c r="C1661" s="178">
        <v>15433.37</v>
      </c>
      <c r="D1661" s="178">
        <v>0</v>
      </c>
      <c r="E1661" s="178">
        <v>15433.37</v>
      </c>
      <c r="F1661">
        <v>15433.37</v>
      </c>
      <c r="G1661" t="s">
        <v>497</v>
      </c>
    </row>
    <row r="1662" spans="1:9">
      <c r="A1662" s="178">
        <v>210</v>
      </c>
      <c r="B1662" s="178" t="s">
        <v>264</v>
      </c>
      <c r="C1662" s="178">
        <v>15433.37</v>
      </c>
      <c r="D1662" s="178">
        <v>0</v>
      </c>
      <c r="E1662" s="178">
        <v>15433.37</v>
      </c>
      <c r="F1662">
        <v>15433.37</v>
      </c>
      <c r="G1662" t="s">
        <v>497</v>
      </c>
    </row>
    <row r="1663" spans="1:9">
      <c r="A1663" s="178">
        <v>220</v>
      </c>
      <c r="B1663" s="178" t="s">
        <v>628</v>
      </c>
      <c r="C1663" s="178">
        <v>0</v>
      </c>
      <c r="D1663" s="178">
        <v>0</v>
      </c>
      <c r="E1663" s="178">
        <v>0</v>
      </c>
      <c r="F1663">
        <v>0</v>
      </c>
      <c r="G1663" t="s">
        <v>497</v>
      </c>
    </row>
    <row r="1664" spans="1:9">
      <c r="A1664" s="178">
        <v>230</v>
      </c>
      <c r="B1664" s="178" t="s">
        <v>266</v>
      </c>
      <c r="C1664" s="178">
        <v>-325000</v>
      </c>
      <c r="D1664" s="178">
        <v>-155463</v>
      </c>
      <c r="E1664" s="178">
        <v>-480463</v>
      </c>
      <c r="F1664">
        <v>-325000</v>
      </c>
      <c r="G1664" t="s">
        <v>497</v>
      </c>
    </row>
    <row r="1665" spans="1:9">
      <c r="A1665" s="178">
        <v>235</v>
      </c>
      <c r="B1665" s="178" t="s">
        <v>629</v>
      </c>
      <c r="C1665" s="178">
        <v>0</v>
      </c>
      <c r="D1665" s="178">
        <v>0</v>
      </c>
      <c r="E1665" s="178">
        <v>0</v>
      </c>
      <c r="F1665">
        <v>0</v>
      </c>
      <c r="G1665" t="s">
        <v>497</v>
      </c>
    </row>
    <row r="1666" spans="1:9">
      <c r="A1666" s="178">
        <v>240</v>
      </c>
      <c r="B1666" s="178" t="s">
        <v>267</v>
      </c>
      <c r="C1666" s="178">
        <v>-55000</v>
      </c>
      <c r="D1666" s="178">
        <v>-4287478.19</v>
      </c>
      <c r="E1666" s="178">
        <v>-4342478.19</v>
      </c>
      <c r="F1666">
        <v>-55000</v>
      </c>
      <c r="G1666" t="s">
        <v>497</v>
      </c>
    </row>
    <row r="1667" spans="1:9">
      <c r="A1667" s="178">
        <v>250</v>
      </c>
      <c r="B1667" s="178" t="s">
        <v>268</v>
      </c>
      <c r="C1667" s="178">
        <v>0</v>
      </c>
      <c r="D1667" s="178">
        <v>0</v>
      </c>
      <c r="E1667" s="178">
        <v>0</v>
      </c>
      <c r="F1667">
        <v>0</v>
      </c>
      <c r="G1667" t="s">
        <v>497</v>
      </c>
    </row>
    <row r="1668" spans="1:9">
      <c r="A1668" s="178">
        <v>260</v>
      </c>
      <c r="B1668" s="178"/>
      <c r="C1668" s="178">
        <v>0</v>
      </c>
      <c r="D1668" s="178">
        <v>0</v>
      </c>
      <c r="E1668" s="178">
        <v>0</v>
      </c>
      <c r="F1668">
        <v>0</v>
      </c>
      <c r="G1668" t="s">
        <v>497</v>
      </c>
    </row>
    <row r="1669" spans="1:9">
      <c r="A1669" s="178">
        <v>270</v>
      </c>
      <c r="B1669" s="178" t="s">
        <v>269</v>
      </c>
      <c r="C1669" s="178">
        <v>611.11</v>
      </c>
      <c r="D1669" s="178">
        <v>-14666.68</v>
      </c>
      <c r="E1669" s="178">
        <v>-14055.57</v>
      </c>
      <c r="F1669">
        <v>611.11</v>
      </c>
      <c r="G1669" t="s">
        <v>497</v>
      </c>
    </row>
    <row r="1670" spans="1:9">
      <c r="A1670" s="178">
        <v>300</v>
      </c>
      <c r="B1670" s="178" t="s">
        <v>270</v>
      </c>
      <c r="C1670" s="178">
        <v>0</v>
      </c>
      <c r="D1670" s="178">
        <v>386.53</v>
      </c>
      <c r="E1670" s="178">
        <v>386.53</v>
      </c>
      <c r="F1670">
        <v>0</v>
      </c>
      <c r="G1670" t="s">
        <v>497</v>
      </c>
    </row>
    <row r="1671" spans="1:9">
      <c r="A1671" s="178">
        <v>310</v>
      </c>
      <c r="B1671" s="178" t="s">
        <v>631</v>
      </c>
      <c r="C1671" s="178">
        <v>0</v>
      </c>
      <c r="D1671" s="178">
        <v>0</v>
      </c>
      <c r="E1671" s="178">
        <v>0</v>
      </c>
      <c r="F1671">
        <v>0</v>
      </c>
      <c r="G1671" t="s">
        <v>497</v>
      </c>
    </row>
    <row r="1672" spans="1:9">
      <c r="A1672" s="178">
        <v>320</v>
      </c>
      <c r="B1672" s="178" t="s">
        <v>271</v>
      </c>
      <c r="C1672" s="178">
        <v>0</v>
      </c>
      <c r="D1672" s="178">
        <v>0</v>
      </c>
      <c r="E1672" s="178">
        <v>0</v>
      </c>
      <c r="F1672">
        <v>0</v>
      </c>
      <c r="G1672" t="s">
        <v>497</v>
      </c>
    </row>
    <row r="1673" spans="1:9">
      <c r="A1673" s="178">
        <v>325</v>
      </c>
      <c r="B1673" s="178" t="s">
        <v>272</v>
      </c>
      <c r="C1673" s="178">
        <v>0</v>
      </c>
      <c r="D1673" s="178">
        <v>2246479.74</v>
      </c>
      <c r="E1673" s="178">
        <v>2246479.74</v>
      </c>
      <c r="F1673">
        <v>0</v>
      </c>
      <c r="G1673" t="s">
        <v>497</v>
      </c>
    </row>
    <row r="1674" spans="1:9">
      <c r="A1674" s="178">
        <v>330</v>
      </c>
      <c r="B1674" s="178" t="s">
        <v>691</v>
      </c>
      <c r="C1674" s="178">
        <v>0</v>
      </c>
      <c r="D1674" s="178">
        <v>0</v>
      </c>
      <c r="E1674" s="178">
        <v>0</v>
      </c>
      <c r="F1674">
        <v>0</v>
      </c>
      <c r="G1674" t="s">
        <v>497</v>
      </c>
    </row>
    <row r="1675" spans="1:9">
      <c r="A1675" s="178">
        <v>340</v>
      </c>
      <c r="B1675" s="178" t="s">
        <v>633</v>
      </c>
      <c r="C1675" s="178">
        <v>0</v>
      </c>
      <c r="D1675" s="178">
        <v>0</v>
      </c>
      <c r="E1675" s="178">
        <v>0</v>
      </c>
      <c r="F1675">
        <v>0</v>
      </c>
      <c r="G1675" t="s">
        <v>497</v>
      </c>
    </row>
    <row r="1676" spans="1:9">
      <c r="A1676" s="178">
        <v>380</v>
      </c>
      <c r="B1676" s="178" t="s">
        <v>634</v>
      </c>
      <c r="C1676" s="178">
        <v>-379388.89</v>
      </c>
      <c r="D1676" s="178">
        <v>-2210741.6</v>
      </c>
      <c r="E1676" s="178">
        <v>-2590130.49</v>
      </c>
      <c r="F1676">
        <v>-379388.89</v>
      </c>
      <c r="G1676" t="s">
        <v>497</v>
      </c>
    </row>
    <row r="1677" spans="1:9">
      <c r="A1677" s="178">
        <v>390</v>
      </c>
      <c r="B1677" s="178" t="s">
        <v>273</v>
      </c>
      <c r="C1677" s="178">
        <v>0</v>
      </c>
      <c r="D1677" s="178">
        <v>0</v>
      </c>
      <c r="E1677" s="178">
        <v>0</v>
      </c>
      <c r="F1677">
        <v>0</v>
      </c>
      <c r="G1677" t="s">
        <v>497</v>
      </c>
    </row>
    <row r="1678" spans="1:9">
      <c r="A1678" s="178">
        <v>400</v>
      </c>
      <c r="B1678" s="178" t="s">
        <v>274</v>
      </c>
      <c r="C1678" s="178">
        <v>-4462.63</v>
      </c>
      <c r="D1678" s="178">
        <v>692592.16</v>
      </c>
      <c r="E1678" s="178">
        <v>688129.53</v>
      </c>
      <c r="F1678">
        <v>-4462.63</v>
      </c>
      <c r="G1678" t="s">
        <v>497</v>
      </c>
    </row>
    <row r="1679" spans="1:9">
      <c r="A1679" s="178">
        <v>405</v>
      </c>
      <c r="B1679" s="178" t="s">
        <v>275</v>
      </c>
      <c r="C1679" s="178">
        <v>0</v>
      </c>
      <c r="D1679" s="178">
        <v>0</v>
      </c>
      <c r="E1679" s="178">
        <v>0</v>
      </c>
      <c r="F1679">
        <v>0</v>
      </c>
      <c r="G1679" t="s">
        <v>497</v>
      </c>
    </row>
    <row r="1680" spans="1:9">
      <c r="A1680" s="178">
        <v>410</v>
      </c>
      <c r="B1680" s="178" t="s">
        <v>276</v>
      </c>
      <c r="C1680" s="178">
        <v>0</v>
      </c>
      <c r="D1680" s="178">
        <v>50000</v>
      </c>
      <c r="E1680" s="178">
        <v>50000</v>
      </c>
      <c r="F1680">
        <v>0</v>
      </c>
      <c r="G1680" t="s">
        <v>497</v>
      </c>
    </row>
    <row r="1681" spans="1:9">
      <c r="A1681" s="178">
        <v>420</v>
      </c>
      <c r="B1681" s="178" t="s">
        <v>277</v>
      </c>
      <c r="C1681" s="178">
        <v>0</v>
      </c>
      <c r="D1681" s="178">
        <v>586186.93</v>
      </c>
      <c r="E1681" s="178">
        <v>586186.93</v>
      </c>
      <c r="F1681">
        <v>0</v>
      </c>
      <c r="G1681" t="s">
        <v>497</v>
      </c>
    </row>
    <row r="1682" spans="1:9">
      <c r="A1682" s="178">
        <v>425</v>
      </c>
      <c r="B1682" s="178" t="s">
        <v>635</v>
      </c>
      <c r="C1682" s="178">
        <v>0</v>
      </c>
      <c r="D1682" s="178">
        <v>0</v>
      </c>
      <c r="E1682" s="178">
        <v>0</v>
      </c>
      <c r="F1682">
        <v>0</v>
      </c>
      <c r="G1682" t="s">
        <v>497</v>
      </c>
    </row>
    <row r="1683" spans="1:9">
      <c r="A1683" s="178">
        <v>427</v>
      </c>
      <c r="B1683" s="178" t="s">
        <v>636</v>
      </c>
      <c r="C1683" s="178">
        <v>0</v>
      </c>
      <c r="D1683" s="178">
        <v>0</v>
      </c>
      <c r="E1683" s="178">
        <v>0</v>
      </c>
      <c r="F1683">
        <v>0</v>
      </c>
      <c r="G1683" t="s">
        <v>497</v>
      </c>
    </row>
    <row r="1684" spans="1:9">
      <c r="A1684" s="178">
        <v>430</v>
      </c>
      <c r="B1684" s="178" t="s">
        <v>279</v>
      </c>
      <c r="C1684" s="178">
        <v>0</v>
      </c>
      <c r="D1684" s="178">
        <v>1235979.47</v>
      </c>
      <c r="E1684" s="178">
        <v>1235979.47</v>
      </c>
      <c r="F1684">
        <v>0</v>
      </c>
      <c r="G1684" t="s">
        <v>497</v>
      </c>
    </row>
    <row r="1685" spans="1:9">
      <c r="A1685" s="178">
        <v>440</v>
      </c>
      <c r="B1685" s="178" t="s">
        <v>280</v>
      </c>
      <c r="C1685" s="178">
        <v>-4462.63</v>
      </c>
      <c r="D1685" s="178">
        <v>2564758.56</v>
      </c>
      <c r="E1685" s="178">
        <v>2560295.93</v>
      </c>
      <c r="F1685">
        <v>-4462.63</v>
      </c>
      <c r="G1685" t="s">
        <v>497</v>
      </c>
    </row>
    <row r="1686" spans="1:9">
      <c r="A1686" s="178">
        <v>450</v>
      </c>
      <c r="B1686" s="178" t="s">
        <v>281</v>
      </c>
      <c r="C1686" s="178">
        <v>0</v>
      </c>
      <c r="D1686" s="178">
        <v>0</v>
      </c>
      <c r="E1686" s="178">
        <v>0</v>
      </c>
      <c r="F1686">
        <v>0</v>
      </c>
      <c r="G1686" t="s">
        <v>497</v>
      </c>
    </row>
    <row r="1687" spans="1:9">
      <c r="A1687" s="178">
        <v>455</v>
      </c>
      <c r="B1687" s="178" t="s">
        <v>282</v>
      </c>
      <c r="C1687" s="178">
        <v>0</v>
      </c>
      <c r="D1687" s="178">
        <v>-94180.82</v>
      </c>
      <c r="E1687" s="178">
        <v>-94180.82</v>
      </c>
      <c r="F1687">
        <v>0</v>
      </c>
      <c r="G1687" t="s">
        <v>497</v>
      </c>
    </row>
    <row r="1688" spans="1:9">
      <c r="A1688" s="178">
        <v>456</v>
      </c>
      <c r="B1688" s="178" t="s">
        <v>637</v>
      </c>
      <c r="C1688" s="178">
        <v>2513.17</v>
      </c>
      <c r="D1688" s="178">
        <v>158376.04</v>
      </c>
      <c r="E1688" s="178">
        <v>160889.21</v>
      </c>
      <c r="F1688">
        <v>2513.17</v>
      </c>
      <c r="G1688" t="s">
        <v>497</v>
      </c>
    </row>
    <row r="1689" spans="1:9">
      <c r="A1689" s="178">
        <v>460</v>
      </c>
      <c r="B1689" s="178" t="s">
        <v>283</v>
      </c>
      <c r="C1689" s="178">
        <v>0</v>
      </c>
      <c r="D1689" s="178">
        <v>0</v>
      </c>
      <c r="E1689" s="178">
        <v>0</v>
      </c>
      <c r="F1689">
        <v>0</v>
      </c>
      <c r="G1689" t="s">
        <v>497</v>
      </c>
    </row>
    <row r="1690" spans="1:9">
      <c r="A1690" s="178">
        <v>470</v>
      </c>
      <c r="B1690" s="178" t="s">
        <v>638</v>
      </c>
      <c r="C1690" s="178">
        <v>0</v>
      </c>
      <c r="D1690" s="178">
        <v>0</v>
      </c>
      <c r="E1690" s="178">
        <v>0</v>
      </c>
      <c r="F1690">
        <v>0</v>
      </c>
      <c r="G1690" t="s">
        <v>497</v>
      </c>
    </row>
    <row r="1691" spans="1:9">
      <c r="A1691" s="178">
        <v>480</v>
      </c>
      <c r="B1691" s="178" t="s">
        <v>284</v>
      </c>
      <c r="C1691" s="178">
        <v>0</v>
      </c>
      <c r="D1691" s="178">
        <v>0</v>
      </c>
      <c r="E1691" s="178">
        <v>0</v>
      </c>
      <c r="F1691">
        <v>0</v>
      </c>
      <c r="G1691" t="s">
        <v>497</v>
      </c>
    </row>
    <row r="1692" spans="1:9">
      <c r="A1692" s="178">
        <v>490</v>
      </c>
      <c r="B1692" s="178" t="s">
        <v>639</v>
      </c>
      <c r="C1692" s="178">
        <v>0</v>
      </c>
      <c r="D1692" s="178">
        <v>0</v>
      </c>
      <c r="E1692" s="178">
        <v>0</v>
      </c>
      <c r="F1692">
        <v>0</v>
      </c>
      <c r="G1692" t="s">
        <v>497</v>
      </c>
    </row>
    <row r="1693" spans="1:9">
      <c r="A1693" s="178">
        <v>500</v>
      </c>
      <c r="B1693" s="178" t="s">
        <v>285</v>
      </c>
      <c r="C1693" s="178">
        <v>0</v>
      </c>
      <c r="D1693" s="178">
        <v>0</v>
      </c>
      <c r="E1693" s="178">
        <v>0</v>
      </c>
      <c r="F1693">
        <v>0</v>
      </c>
      <c r="G1693" t="s">
        <v>497</v>
      </c>
    </row>
    <row r="1694" spans="1:9">
      <c r="A1694" s="178">
        <v>510</v>
      </c>
      <c r="B1694" s="178" t="s">
        <v>640</v>
      </c>
      <c r="C1694" s="178">
        <v>0</v>
      </c>
      <c r="D1694" s="178">
        <v>0</v>
      </c>
      <c r="E1694" s="178">
        <v>0</v>
      </c>
      <c r="F1694">
        <v>0</v>
      </c>
      <c r="G1694" t="s">
        <v>497</v>
      </c>
    </row>
    <row r="1695" spans="1:9">
      <c r="A1695" s="178">
        <v>512</v>
      </c>
      <c r="B1695" s="178" t="s">
        <v>286</v>
      </c>
      <c r="C1695" s="178">
        <v>0</v>
      </c>
      <c r="D1695" s="178">
        <v>0</v>
      </c>
      <c r="E1695" s="178">
        <v>0</v>
      </c>
      <c r="F1695">
        <v>0</v>
      </c>
      <c r="G1695" t="s">
        <v>497</v>
      </c>
    </row>
    <row r="1696" spans="1:9">
      <c r="A1696" s="178">
        <v>514</v>
      </c>
      <c r="B1696" s="178" t="s">
        <v>641</v>
      </c>
      <c r="C1696" s="178">
        <v>0</v>
      </c>
      <c r="D1696" s="178">
        <v>0</v>
      </c>
      <c r="E1696" s="178">
        <v>0</v>
      </c>
      <c r="F1696">
        <v>0</v>
      </c>
      <c r="G1696" t="s">
        <v>497</v>
      </c>
    </row>
    <row r="1697" spans="1:9">
      <c r="A1697" s="178">
        <v>520</v>
      </c>
      <c r="B1697" s="178" t="s">
        <v>642</v>
      </c>
      <c r="C1697" s="178">
        <v>0</v>
      </c>
      <c r="D1697" s="178">
        <v>0</v>
      </c>
      <c r="E1697" s="178">
        <v>0</v>
      </c>
      <c r="F1697">
        <v>0</v>
      </c>
      <c r="G1697" t="s">
        <v>497</v>
      </c>
    </row>
    <row r="1698" spans="1:9">
      <c r="A1698" s="178">
        <v>530</v>
      </c>
      <c r="B1698" s="178" t="s">
        <v>643</v>
      </c>
      <c r="C1698" s="178">
        <v>0</v>
      </c>
      <c r="D1698" s="178">
        <v>0</v>
      </c>
      <c r="E1698" s="178">
        <v>0</v>
      </c>
      <c r="F1698">
        <v>0</v>
      </c>
      <c r="G1698" t="s">
        <v>497</v>
      </c>
    </row>
    <row r="1699" spans="1:9">
      <c r="A1699" s="178">
        <v>540</v>
      </c>
      <c r="B1699" s="178" t="s">
        <v>644</v>
      </c>
      <c r="C1699" s="178">
        <v>0</v>
      </c>
      <c r="D1699" s="178">
        <v>0</v>
      </c>
      <c r="E1699" s="178">
        <v>0</v>
      </c>
      <c r="F1699">
        <v>0</v>
      </c>
      <c r="G1699" t="s">
        <v>497</v>
      </c>
    </row>
    <row r="1700" spans="1:9">
      <c r="A1700" s="178">
        <v>550</v>
      </c>
      <c r="B1700" s="178" t="s">
        <v>645</v>
      </c>
      <c r="C1700" s="178">
        <v>0</v>
      </c>
      <c r="D1700" s="178">
        <v>0</v>
      </c>
      <c r="E1700" s="178">
        <v>0</v>
      </c>
      <c r="F1700">
        <v>0</v>
      </c>
      <c r="G1700" t="s">
        <v>497</v>
      </c>
    </row>
    <row r="1701" spans="1:9">
      <c r="A1701" s="178">
        <v>560</v>
      </c>
      <c r="B1701" s="178" t="s">
        <v>646</v>
      </c>
      <c r="C1701" s="178">
        <v>0</v>
      </c>
      <c r="D1701" s="178">
        <v>-6523.8</v>
      </c>
      <c r="E1701" s="178">
        <v>-6523.8</v>
      </c>
      <c r="F1701">
        <v>0</v>
      </c>
      <c r="G1701" t="s">
        <v>497</v>
      </c>
    </row>
    <row r="1702" spans="1:9">
      <c r="A1702" s="178">
        <v>570</v>
      </c>
      <c r="B1702" s="178" t="s">
        <v>647</v>
      </c>
      <c r="C1702" s="178">
        <v>0</v>
      </c>
      <c r="D1702" s="178">
        <v>6523.8</v>
      </c>
      <c r="E1702" s="178">
        <v>6523.8</v>
      </c>
      <c r="F1702">
        <v>0</v>
      </c>
      <c r="G1702" t="s">
        <v>497</v>
      </c>
    </row>
    <row r="1703" spans="1:9">
      <c r="A1703" s="178">
        <v>580</v>
      </c>
      <c r="B1703" s="178" t="s">
        <v>290</v>
      </c>
      <c r="C1703" s="178">
        <v>0</v>
      </c>
      <c r="D1703" s="178">
        <v>0</v>
      </c>
      <c r="E1703" s="178">
        <v>0</v>
      </c>
      <c r="F1703">
        <v>0</v>
      </c>
      <c r="G1703" t="s">
        <v>497</v>
      </c>
    </row>
    <row r="1704" spans="1:9">
      <c r="A1704" s="178">
        <v>590</v>
      </c>
      <c r="B1704" s="178" t="s">
        <v>648</v>
      </c>
      <c r="C1704" s="178">
        <v>0</v>
      </c>
      <c r="D1704" s="178">
        <v>0</v>
      </c>
      <c r="E1704" s="178">
        <v>0</v>
      </c>
      <c r="F1704">
        <v>0</v>
      </c>
      <c r="G1704" t="s">
        <v>497</v>
      </c>
    </row>
    <row r="1705" spans="1:9">
      <c r="A1705" s="178">
        <v>600</v>
      </c>
      <c r="B1705" s="178" t="s">
        <v>291</v>
      </c>
      <c r="C1705" s="178">
        <v>0</v>
      </c>
      <c r="D1705" s="178">
        <v>0</v>
      </c>
      <c r="E1705" s="178">
        <v>0</v>
      </c>
      <c r="F1705">
        <v>0</v>
      </c>
      <c r="G1705" t="s">
        <v>497</v>
      </c>
    </row>
    <row r="1706" spans="1:9">
      <c r="A1706" s="178">
        <v>610</v>
      </c>
      <c r="B1706" s="178" t="s">
        <v>649</v>
      </c>
      <c r="C1706" s="178">
        <v>0</v>
      </c>
      <c r="D1706" s="178">
        <v>0</v>
      </c>
      <c r="E1706" s="178">
        <v>0</v>
      </c>
      <c r="F1706">
        <v>0</v>
      </c>
      <c r="G1706" t="s">
        <v>497</v>
      </c>
    </row>
    <row r="1707" spans="1:9">
      <c r="A1707" s="178">
        <v>615</v>
      </c>
      <c r="B1707" s="178" t="s">
        <v>674</v>
      </c>
      <c r="C1707" s="178">
        <v>0</v>
      </c>
      <c r="D1707" s="178">
        <v>0</v>
      </c>
      <c r="E1707" s="178">
        <v>0</v>
      </c>
      <c r="F1707">
        <v>0</v>
      </c>
      <c r="G1707" t="s">
        <v>497</v>
      </c>
    </row>
    <row r="1708" spans="1:9">
      <c r="A1708" s="178">
        <v>620</v>
      </c>
      <c r="B1708" s="178" t="s">
        <v>292</v>
      </c>
      <c r="C1708" s="178">
        <v>0</v>
      </c>
      <c r="D1708" s="178">
        <v>0</v>
      </c>
      <c r="E1708" s="178">
        <v>0</v>
      </c>
      <c r="F1708">
        <v>0</v>
      </c>
      <c r="G1708" t="s">
        <v>497</v>
      </c>
    </row>
    <row r="1709" spans="1:9">
      <c r="A1709" s="178">
        <v>630</v>
      </c>
      <c r="B1709" s="178" t="s">
        <v>293</v>
      </c>
      <c r="C1709" s="178">
        <v>0</v>
      </c>
      <c r="D1709" s="178">
        <v>0</v>
      </c>
      <c r="E1709" s="178">
        <v>0</v>
      </c>
      <c r="F1709">
        <v>0</v>
      </c>
      <c r="G1709" t="s">
        <v>497</v>
      </c>
    </row>
    <row r="1710" spans="1:9">
      <c r="A1710" s="178">
        <v>635</v>
      </c>
      <c r="B1710" s="178" t="s">
        <v>675</v>
      </c>
      <c r="C1710" s="178">
        <v>0</v>
      </c>
      <c r="D1710" s="178">
        <v>0</v>
      </c>
      <c r="E1710" s="178">
        <v>0</v>
      </c>
      <c r="F1710">
        <v>0</v>
      </c>
      <c r="G1710" t="s">
        <v>497</v>
      </c>
    </row>
    <row r="1711" spans="1:9">
      <c r="A1711" s="178">
        <v>640</v>
      </c>
      <c r="B1711" s="178" t="s">
        <v>294</v>
      </c>
      <c r="C1711" s="178">
        <v>2513.17</v>
      </c>
      <c r="D1711" s="178">
        <v>64195.22</v>
      </c>
      <c r="E1711" s="178">
        <v>66708.39</v>
      </c>
      <c r="F1711">
        <v>2513.17</v>
      </c>
      <c r="G1711" t="s">
        <v>497</v>
      </c>
    </row>
    <row r="1712" spans="1:9">
      <c r="A1712" s="178">
        <v>650</v>
      </c>
      <c r="B1712" s="178" t="s">
        <v>295</v>
      </c>
      <c r="C1712" s="178">
        <v>-365904.98</v>
      </c>
      <c r="D1712" s="178">
        <v>418212.18</v>
      </c>
      <c r="E1712" s="178">
        <v>52307.2</v>
      </c>
      <c r="F1712">
        <v>-365904.98</v>
      </c>
      <c r="G1712" t="s">
        <v>497</v>
      </c>
    </row>
    <row r="1713" spans="1:9">
      <c r="A1713" s="178" t="s">
        <v>485</v>
      </c>
      <c r="B1713" s="178" t="s">
        <v>402</v>
      </c>
      <c r="C1713" s="178" t="s">
        <v>609</v>
      </c>
      <c r="D1713" s="178" t="s">
        <v>610</v>
      </c>
      <c r="E1713" s="178" t="s">
        <v>611</v>
      </c>
      <c r="F1713" t="s">
        <v>612</v>
      </c>
      <c r="G1713" t="s">
        <v>405</v>
      </c>
    </row>
    <row r="1714" spans="1:9">
      <c r="A1714" s="178">
        <v>10</v>
      </c>
      <c r="B1714" s="178" t="s">
        <v>613</v>
      </c>
      <c r="C1714" s="178">
        <v>0</v>
      </c>
      <c r="D1714" s="178">
        <v>0</v>
      </c>
      <c r="E1714" s="178">
        <v>0</v>
      </c>
      <c r="F1714">
        <v>0</v>
      </c>
      <c r="G1714" t="s">
        <v>497</v>
      </c>
    </row>
    <row r="1715" spans="1:9">
      <c r="A1715" s="178">
        <v>20</v>
      </c>
      <c r="B1715" s="178" t="s">
        <v>406</v>
      </c>
      <c r="C1715" s="178">
        <v>473380.46</v>
      </c>
      <c r="D1715" s="178">
        <v>0</v>
      </c>
      <c r="E1715" s="178">
        <v>473380.46</v>
      </c>
      <c r="F1715">
        <v>473380.46</v>
      </c>
      <c r="G1715" t="s">
        <v>497</v>
      </c>
    </row>
    <row r="1716" spans="1:9">
      <c r="A1716" s="178">
        <v>30</v>
      </c>
      <c r="B1716" s="178" t="s">
        <v>614</v>
      </c>
      <c r="C1716" s="178">
        <v>87993.78</v>
      </c>
      <c r="D1716" s="178">
        <v>0</v>
      </c>
      <c r="E1716" s="178">
        <v>87993.78</v>
      </c>
      <c r="F1716">
        <v>87993.78</v>
      </c>
      <c r="G1716" t="s">
        <v>497</v>
      </c>
    </row>
    <row r="1717" spans="1:9">
      <c r="A1717" s="178">
        <v>35</v>
      </c>
      <c r="B1717" s="178" t="s">
        <v>615</v>
      </c>
      <c r="C1717" s="178">
        <v>385386.68</v>
      </c>
      <c r="D1717" s="178">
        <v>0</v>
      </c>
      <c r="E1717" s="178">
        <v>385386.68</v>
      </c>
      <c r="F1717">
        <v>385386.68</v>
      </c>
      <c r="G1717" t="s">
        <v>497</v>
      </c>
    </row>
    <row r="1718" spans="1:9">
      <c r="A1718" s="178">
        <v>40</v>
      </c>
      <c r="B1718" s="178" t="s">
        <v>616</v>
      </c>
      <c r="C1718" s="178">
        <v>226825.12</v>
      </c>
      <c r="D1718" s="178">
        <v>0</v>
      </c>
      <c r="E1718" s="178">
        <v>226825.12</v>
      </c>
      <c r="F1718">
        <v>226825.12</v>
      </c>
      <c r="G1718" t="s">
        <v>497</v>
      </c>
    </row>
    <row r="1719" spans="1:9">
      <c r="A1719" s="178">
        <v>50</v>
      </c>
      <c r="B1719" s="178" t="s">
        <v>617</v>
      </c>
      <c r="C1719" s="178">
        <v>0</v>
      </c>
      <c r="D1719" s="178">
        <v>0</v>
      </c>
      <c r="E1719" s="178">
        <v>0</v>
      </c>
      <c r="F1719">
        <v>0</v>
      </c>
      <c r="G1719" t="s">
        <v>497</v>
      </c>
    </row>
    <row r="1720" spans="1:9">
      <c r="A1720" s="178">
        <v>60</v>
      </c>
      <c r="B1720" s="178" t="s">
        <v>618</v>
      </c>
      <c r="C1720" s="178">
        <v>158561.56</v>
      </c>
      <c r="D1720" s="178">
        <v>0</v>
      </c>
      <c r="E1720" s="178">
        <v>158561.56</v>
      </c>
      <c r="F1720">
        <v>158561.56</v>
      </c>
      <c r="G1720" t="s">
        <v>497</v>
      </c>
    </row>
    <row r="1721" spans="1:9">
      <c r="A1721" s="178">
        <v>70</v>
      </c>
      <c r="B1721" s="178" t="s">
        <v>412</v>
      </c>
      <c r="C1721" s="178">
        <v>120592.4</v>
      </c>
      <c r="D1721" s="178">
        <v>0</v>
      </c>
      <c r="E1721" s="178">
        <v>120592.4</v>
      </c>
      <c r="F1721">
        <v>120592.4</v>
      </c>
      <c r="G1721" t="s">
        <v>497</v>
      </c>
    </row>
    <row r="1722" spans="1:9">
      <c r="A1722" s="178">
        <v>80</v>
      </c>
      <c r="B1722" s="178" t="s">
        <v>413</v>
      </c>
      <c r="C1722" s="178">
        <v>8041.41</v>
      </c>
      <c r="D1722" s="178">
        <v>0</v>
      </c>
      <c r="E1722" s="178">
        <v>8041.41</v>
      </c>
      <c r="F1722">
        <v>8041.41</v>
      </c>
      <c r="G1722" t="s">
        <v>497</v>
      </c>
    </row>
    <row r="1723" spans="1:9">
      <c r="A1723" s="178">
        <v>90</v>
      </c>
      <c r="B1723" s="178" t="s">
        <v>619</v>
      </c>
      <c r="C1723" s="178">
        <v>5119.02</v>
      </c>
      <c r="D1723" s="178">
        <v>0</v>
      </c>
      <c r="E1723" s="178">
        <v>5119.02</v>
      </c>
      <c r="F1723">
        <v>5119.02</v>
      </c>
      <c r="G1723" t="s">
        <v>497</v>
      </c>
    </row>
    <row r="1724" spans="1:9">
      <c r="A1724" s="178">
        <v>100</v>
      </c>
      <c r="B1724" s="178" t="s">
        <v>620</v>
      </c>
      <c r="C1724" s="178">
        <v>24808.73</v>
      </c>
      <c r="D1724" s="178">
        <v>0</v>
      </c>
      <c r="E1724" s="178">
        <v>24808.73</v>
      </c>
      <c r="F1724">
        <v>24808.73</v>
      </c>
      <c r="G1724" t="s">
        <v>497</v>
      </c>
    </row>
    <row r="1725" spans="1:9">
      <c r="A1725" s="178">
        <v>110</v>
      </c>
      <c r="B1725" s="178" t="s">
        <v>621</v>
      </c>
      <c r="C1725" s="178">
        <v>0</v>
      </c>
      <c r="D1725" s="178">
        <v>0</v>
      </c>
      <c r="E1725" s="178">
        <v>0</v>
      </c>
      <c r="F1725">
        <v>0</v>
      </c>
      <c r="G1725" t="s">
        <v>497</v>
      </c>
    </row>
    <row r="1726" spans="1:9">
      <c r="A1726" s="178">
        <v>120</v>
      </c>
      <c r="B1726" s="178" t="s">
        <v>622</v>
      </c>
      <c r="C1726" s="178">
        <v>-2449.35</v>
      </c>
      <c r="D1726" s="178">
        <v>0</v>
      </c>
      <c r="E1726" s="178">
        <v>-2449.35</v>
      </c>
      <c r="F1726">
        <v>-2449.35</v>
      </c>
      <c r="G1726" t="s">
        <v>497</v>
      </c>
    </row>
    <row r="1727" spans="1:9">
      <c r="A1727" s="178">
        <v>130</v>
      </c>
      <c r="B1727" s="178" t="s">
        <v>623</v>
      </c>
      <c r="C1727" s="178">
        <v>0</v>
      </c>
      <c r="D1727" s="178">
        <v>0</v>
      </c>
      <c r="E1727" s="178">
        <v>0</v>
      </c>
      <c r="F1727">
        <v>0</v>
      </c>
      <c r="G1727" t="s">
        <v>497</v>
      </c>
    </row>
    <row r="1728" spans="1:9">
      <c r="A1728" s="178">
        <v>140</v>
      </c>
      <c r="B1728" s="178" t="s">
        <v>624</v>
      </c>
      <c r="C1728" s="178">
        <v>0</v>
      </c>
      <c r="D1728" s="178">
        <v>0</v>
      </c>
      <c r="E1728" s="178">
        <v>0</v>
      </c>
      <c r="F1728">
        <v>0</v>
      </c>
      <c r="G1728" t="s">
        <v>497</v>
      </c>
    </row>
    <row r="1729" spans="1:9">
      <c r="A1729" s="178">
        <v>145</v>
      </c>
      <c r="B1729" s="178" t="s">
        <v>422</v>
      </c>
      <c r="C1729" s="178">
        <v>-2449.35</v>
      </c>
      <c r="D1729" s="178">
        <v>0</v>
      </c>
      <c r="E1729" s="178">
        <v>-2449.35</v>
      </c>
      <c r="F1729">
        <v>-2449.35</v>
      </c>
      <c r="G1729" t="s">
        <v>497</v>
      </c>
    </row>
    <row r="1730" spans="1:9">
      <c r="A1730" s="178">
        <v>150</v>
      </c>
      <c r="B1730" s="178" t="s">
        <v>625</v>
      </c>
      <c r="C1730" s="178">
        <v>27258.08</v>
      </c>
      <c r="D1730" s="178">
        <v>0</v>
      </c>
      <c r="E1730" s="178">
        <v>27258.08</v>
      </c>
      <c r="F1730">
        <v>27258.08</v>
      </c>
      <c r="G1730" t="s">
        <v>497</v>
      </c>
    </row>
    <row r="1731" spans="1:9">
      <c r="A1731" s="178">
        <v>160</v>
      </c>
      <c r="B1731" s="178" t="s">
        <v>626</v>
      </c>
      <c r="C1731" s="178">
        <v>0</v>
      </c>
      <c r="D1731" s="178">
        <v>0</v>
      </c>
      <c r="E1731" s="178">
        <v>0</v>
      </c>
      <c r="F1731">
        <v>0</v>
      </c>
      <c r="G1731" t="s">
        <v>497</v>
      </c>
    </row>
    <row r="1732" spans="1:9">
      <c r="A1732" s="178">
        <v>170</v>
      </c>
      <c r="B1732" s="178" t="s">
        <v>426</v>
      </c>
      <c r="C1732" s="178">
        <v>27258.08</v>
      </c>
      <c r="D1732" s="178">
        <v>0</v>
      </c>
      <c r="E1732" s="178">
        <v>27258.08</v>
      </c>
      <c r="F1732">
        <v>27258.08</v>
      </c>
      <c r="G1732" t="s">
        <v>497</v>
      </c>
    </row>
    <row r="1733" spans="1:9">
      <c r="A1733" s="178">
        <v>190</v>
      </c>
      <c r="B1733" s="178" t="s">
        <v>627</v>
      </c>
      <c r="C1733" s="178">
        <v>0</v>
      </c>
      <c r="D1733" s="178">
        <v>0</v>
      </c>
      <c r="E1733" s="178">
        <v>0</v>
      </c>
      <c r="F1733">
        <v>0</v>
      </c>
      <c r="G1733" t="s">
        <v>497</v>
      </c>
    </row>
    <row r="1734" spans="1:9">
      <c r="A1734" s="178">
        <v>200</v>
      </c>
      <c r="B1734" s="178" t="s">
        <v>426</v>
      </c>
      <c r="C1734" s="178">
        <v>27258.08</v>
      </c>
      <c r="D1734" s="178">
        <v>0</v>
      </c>
      <c r="E1734" s="178">
        <v>27258.08</v>
      </c>
      <c r="F1734">
        <v>27258.08</v>
      </c>
      <c r="G1734" t="s">
        <v>497</v>
      </c>
    </row>
    <row r="1735" spans="1:9">
      <c r="A1735" s="178">
        <v>210</v>
      </c>
      <c r="B1735" s="178" t="s">
        <v>264</v>
      </c>
      <c r="C1735" s="178">
        <v>27258.08</v>
      </c>
      <c r="D1735" s="178">
        <v>0</v>
      </c>
      <c r="E1735" s="178">
        <v>27258.08</v>
      </c>
      <c r="F1735">
        <v>27258.08</v>
      </c>
      <c r="G1735" t="s">
        <v>497</v>
      </c>
    </row>
    <row r="1736" spans="1:9">
      <c r="A1736" s="178">
        <v>220</v>
      </c>
      <c r="B1736" s="178" t="s">
        <v>628</v>
      </c>
      <c r="C1736" s="178">
        <v>0</v>
      </c>
      <c r="D1736" s="178">
        <v>0</v>
      </c>
      <c r="E1736" s="178">
        <v>0</v>
      </c>
      <c r="F1736">
        <v>0</v>
      </c>
      <c r="G1736" t="s">
        <v>497</v>
      </c>
    </row>
    <row r="1737" spans="1:9">
      <c r="A1737" s="178">
        <v>230</v>
      </c>
      <c r="B1737" s="178" t="s">
        <v>266</v>
      </c>
      <c r="C1737" s="178">
        <v>-19706.08</v>
      </c>
      <c r="D1737" s="178">
        <v>-186151.21</v>
      </c>
      <c r="E1737" s="178">
        <v>-205857.29</v>
      </c>
      <c r="F1737">
        <v>-19706.08</v>
      </c>
      <c r="G1737" t="s">
        <v>497</v>
      </c>
    </row>
    <row r="1738" spans="1:9">
      <c r="A1738" s="178">
        <v>235</v>
      </c>
      <c r="B1738" s="178" t="s">
        <v>629</v>
      </c>
      <c r="C1738" s="178">
        <v>0</v>
      </c>
      <c r="D1738" s="178">
        <v>0</v>
      </c>
      <c r="E1738" s="178">
        <v>0</v>
      </c>
      <c r="F1738">
        <v>0</v>
      </c>
      <c r="G1738" t="s">
        <v>497</v>
      </c>
    </row>
    <row r="1739" spans="1:9">
      <c r="A1739" s="178">
        <v>240</v>
      </c>
      <c r="B1739" s="178" t="s">
        <v>267</v>
      </c>
      <c r="C1739" s="178">
        <v>-310404.55</v>
      </c>
      <c r="D1739" s="178">
        <v>181221.21</v>
      </c>
      <c r="E1739" s="178">
        <v>-129183.34</v>
      </c>
      <c r="F1739">
        <v>-310404.55</v>
      </c>
      <c r="G1739" t="s">
        <v>497</v>
      </c>
    </row>
    <row r="1740" spans="1:9">
      <c r="A1740" s="178">
        <v>250</v>
      </c>
      <c r="B1740" s="178" t="s">
        <v>268</v>
      </c>
      <c r="C1740" s="178">
        <v>2658.37</v>
      </c>
      <c r="D1740" s="178">
        <v>-33249.85</v>
      </c>
      <c r="E1740" s="178">
        <v>-30591.48</v>
      </c>
      <c r="F1740">
        <v>2658.37</v>
      </c>
      <c r="G1740" t="s">
        <v>497</v>
      </c>
    </row>
    <row r="1741" spans="1:9">
      <c r="A1741" s="178">
        <v>260</v>
      </c>
      <c r="B1741" s="178"/>
      <c r="C1741" s="178">
        <v>0</v>
      </c>
      <c r="D1741" s="178">
        <v>0</v>
      </c>
      <c r="E1741" s="178">
        <v>0</v>
      </c>
      <c r="F1741">
        <v>0</v>
      </c>
      <c r="G1741" t="s">
        <v>497</v>
      </c>
    </row>
    <row r="1742" spans="1:9">
      <c r="A1742" s="178">
        <v>270</v>
      </c>
      <c r="B1742" s="178" t="s">
        <v>269</v>
      </c>
      <c r="C1742" s="178">
        <v>699.12</v>
      </c>
      <c r="D1742" s="178">
        <v>-52846.64</v>
      </c>
      <c r="E1742" s="178">
        <v>-52147.52</v>
      </c>
      <c r="F1742">
        <v>699.12</v>
      </c>
      <c r="G1742" t="s">
        <v>497</v>
      </c>
    </row>
    <row r="1743" spans="1:9">
      <c r="A1743" s="178">
        <v>300</v>
      </c>
      <c r="B1743" s="178" t="s">
        <v>270</v>
      </c>
      <c r="C1743" s="178">
        <v>3408.24</v>
      </c>
      <c r="D1743" s="178">
        <v>16857.93</v>
      </c>
      <c r="E1743" s="178">
        <v>20266.17</v>
      </c>
      <c r="F1743">
        <v>3408.24</v>
      </c>
      <c r="G1743" t="s">
        <v>497</v>
      </c>
    </row>
    <row r="1744" spans="1:9">
      <c r="A1744" s="178">
        <v>310</v>
      </c>
      <c r="B1744" s="178" t="s">
        <v>631</v>
      </c>
      <c r="C1744" s="178">
        <v>0</v>
      </c>
      <c r="D1744" s="178">
        <v>0</v>
      </c>
      <c r="E1744" s="178">
        <v>0</v>
      </c>
      <c r="F1744">
        <v>0</v>
      </c>
      <c r="G1744" t="s">
        <v>497</v>
      </c>
    </row>
    <row r="1745" spans="1:9">
      <c r="A1745" s="178">
        <v>320</v>
      </c>
      <c r="B1745" s="178" t="s">
        <v>271</v>
      </c>
      <c r="C1745" s="178">
        <v>485.8</v>
      </c>
      <c r="D1745" s="178">
        <v>298.35</v>
      </c>
      <c r="E1745" s="178">
        <v>784.15</v>
      </c>
      <c r="F1745">
        <v>485.8</v>
      </c>
      <c r="G1745" t="s">
        <v>497</v>
      </c>
    </row>
    <row r="1746" spans="1:9">
      <c r="A1746" s="178">
        <v>325</v>
      </c>
      <c r="B1746" s="178" t="s">
        <v>272</v>
      </c>
      <c r="C1746" s="178">
        <v>7698.37</v>
      </c>
      <c r="D1746" s="178">
        <v>27192.82</v>
      </c>
      <c r="E1746" s="178">
        <v>34891.19</v>
      </c>
      <c r="F1746">
        <v>7698.37</v>
      </c>
      <c r="G1746" t="s">
        <v>497</v>
      </c>
    </row>
    <row r="1747" spans="1:9">
      <c r="A1747" s="178">
        <v>330</v>
      </c>
      <c r="B1747" s="178" t="s">
        <v>691</v>
      </c>
      <c r="C1747" s="178">
        <v>0</v>
      </c>
      <c r="D1747" s="178">
        <v>-17201.39</v>
      </c>
      <c r="E1747" s="178">
        <v>-17201.39</v>
      </c>
      <c r="F1747">
        <v>0</v>
      </c>
      <c r="G1747" t="s">
        <v>497</v>
      </c>
    </row>
    <row r="1748" spans="1:9">
      <c r="A1748" s="178">
        <v>340</v>
      </c>
      <c r="B1748" s="178" t="s">
        <v>633</v>
      </c>
      <c r="C1748" s="178">
        <v>-779.72</v>
      </c>
      <c r="D1748" s="178">
        <v>78893.39</v>
      </c>
      <c r="E1748" s="178">
        <v>78113.67</v>
      </c>
      <c r="F1748">
        <v>-779.72</v>
      </c>
      <c r="G1748" t="s">
        <v>497</v>
      </c>
    </row>
    <row r="1749" spans="1:9">
      <c r="A1749" s="178">
        <v>380</v>
      </c>
      <c r="B1749" s="178" t="s">
        <v>634</v>
      </c>
      <c r="C1749" s="178">
        <v>-315940.45</v>
      </c>
      <c r="D1749" s="178">
        <v>15014.61</v>
      </c>
      <c r="E1749" s="178">
        <v>-300925.84</v>
      </c>
      <c r="F1749">
        <v>-315940.45</v>
      </c>
      <c r="G1749" t="s">
        <v>497</v>
      </c>
    </row>
    <row r="1750" spans="1:9">
      <c r="A1750" s="178">
        <v>390</v>
      </c>
      <c r="B1750" s="178" t="s">
        <v>273</v>
      </c>
      <c r="C1750" s="178">
        <v>0</v>
      </c>
      <c r="D1750" s="178">
        <v>0</v>
      </c>
      <c r="E1750" s="178">
        <v>0</v>
      </c>
      <c r="F1750">
        <v>0</v>
      </c>
      <c r="G1750" t="s">
        <v>497</v>
      </c>
    </row>
    <row r="1751" spans="1:9">
      <c r="A1751" s="178">
        <v>400</v>
      </c>
      <c r="B1751" s="178" t="s">
        <v>274</v>
      </c>
      <c r="C1751" s="178">
        <v>0</v>
      </c>
      <c r="D1751" s="178">
        <v>0</v>
      </c>
      <c r="E1751" s="178">
        <v>0</v>
      </c>
      <c r="F1751">
        <v>0</v>
      </c>
      <c r="G1751" t="s">
        <v>497</v>
      </c>
    </row>
    <row r="1752" spans="1:9">
      <c r="A1752" s="178">
        <v>405</v>
      </c>
      <c r="B1752" s="178" t="s">
        <v>275</v>
      </c>
      <c r="C1752" s="178">
        <v>0</v>
      </c>
      <c r="D1752" s="178">
        <v>283700</v>
      </c>
      <c r="E1752" s="178">
        <v>283700</v>
      </c>
      <c r="F1752">
        <v>0</v>
      </c>
      <c r="G1752" t="s">
        <v>497</v>
      </c>
    </row>
    <row r="1753" spans="1:9">
      <c r="A1753" s="178">
        <v>410</v>
      </c>
      <c r="B1753" s="178" t="s">
        <v>276</v>
      </c>
      <c r="C1753" s="178">
        <v>0</v>
      </c>
      <c r="D1753" s="178">
        <v>1000</v>
      </c>
      <c r="E1753" s="178">
        <v>1000</v>
      </c>
      <c r="F1753">
        <v>0</v>
      </c>
      <c r="G1753" t="s">
        <v>497</v>
      </c>
    </row>
    <row r="1754" spans="1:9">
      <c r="A1754" s="178">
        <v>420</v>
      </c>
      <c r="B1754" s="178" t="s">
        <v>277</v>
      </c>
      <c r="C1754" s="178">
        <v>0</v>
      </c>
      <c r="D1754" s="178">
        <v>4000</v>
      </c>
      <c r="E1754" s="178">
        <v>4000</v>
      </c>
      <c r="F1754">
        <v>0</v>
      </c>
      <c r="G1754" t="s">
        <v>497</v>
      </c>
    </row>
    <row r="1755" spans="1:9">
      <c r="A1755" s="178">
        <v>425</v>
      </c>
      <c r="B1755" s="178" t="s">
        <v>635</v>
      </c>
      <c r="C1755" s="178">
        <v>0</v>
      </c>
      <c r="D1755" s="178">
        <v>0</v>
      </c>
      <c r="E1755" s="178">
        <v>0</v>
      </c>
      <c r="F1755">
        <v>0</v>
      </c>
      <c r="G1755" t="s">
        <v>497</v>
      </c>
    </row>
    <row r="1756" spans="1:9">
      <c r="A1756" s="178">
        <v>427</v>
      </c>
      <c r="B1756" s="178" t="s">
        <v>636</v>
      </c>
      <c r="C1756" s="178">
        <v>0</v>
      </c>
      <c r="D1756" s="178">
        <v>0</v>
      </c>
      <c r="E1756" s="178">
        <v>0</v>
      </c>
      <c r="F1756">
        <v>0</v>
      </c>
      <c r="G1756" t="s">
        <v>497</v>
      </c>
    </row>
    <row r="1757" spans="1:9">
      <c r="A1757" s="178">
        <v>430</v>
      </c>
      <c r="B1757" s="178" t="s">
        <v>279</v>
      </c>
      <c r="C1757" s="178">
        <v>0</v>
      </c>
      <c r="D1757" s="178">
        <v>232692.95</v>
      </c>
      <c r="E1757" s="178">
        <v>232692.95</v>
      </c>
      <c r="F1757">
        <v>0</v>
      </c>
      <c r="G1757" t="s">
        <v>497</v>
      </c>
    </row>
    <row r="1758" spans="1:9">
      <c r="A1758" s="178">
        <v>440</v>
      </c>
      <c r="B1758" s="178" t="s">
        <v>280</v>
      </c>
      <c r="C1758" s="178">
        <v>0</v>
      </c>
      <c r="D1758" s="178">
        <v>521392.95</v>
      </c>
      <c r="E1758" s="178">
        <v>521392.95</v>
      </c>
      <c r="F1758">
        <v>0</v>
      </c>
      <c r="G1758" t="s">
        <v>497</v>
      </c>
    </row>
    <row r="1759" spans="1:9">
      <c r="A1759" s="178">
        <v>450</v>
      </c>
      <c r="B1759" s="178" t="s">
        <v>281</v>
      </c>
      <c r="C1759" s="178">
        <v>0</v>
      </c>
      <c r="D1759" s="178">
        <v>0</v>
      </c>
      <c r="E1759" s="178">
        <v>0</v>
      </c>
      <c r="F1759">
        <v>0</v>
      </c>
      <c r="G1759" t="s">
        <v>497</v>
      </c>
    </row>
    <row r="1760" spans="1:9">
      <c r="A1760" s="178">
        <v>455</v>
      </c>
      <c r="B1760" s="178" t="s">
        <v>282</v>
      </c>
      <c r="C1760" s="178">
        <v>0</v>
      </c>
      <c r="D1760" s="178">
        <v>0</v>
      </c>
      <c r="E1760" s="178">
        <v>0</v>
      </c>
      <c r="F1760">
        <v>0</v>
      </c>
      <c r="G1760" t="s">
        <v>497</v>
      </c>
    </row>
    <row r="1761" spans="1:9">
      <c r="A1761" s="178">
        <v>456</v>
      </c>
      <c r="B1761" s="178" t="s">
        <v>637</v>
      </c>
      <c r="C1761" s="178">
        <v>0</v>
      </c>
      <c r="D1761" s="178">
        <v>0</v>
      </c>
      <c r="E1761" s="178">
        <v>0</v>
      </c>
      <c r="F1761">
        <v>0</v>
      </c>
      <c r="G1761" t="s">
        <v>497</v>
      </c>
    </row>
    <row r="1762" spans="1:9">
      <c r="A1762" s="178">
        <v>460</v>
      </c>
      <c r="B1762" s="178" t="s">
        <v>283</v>
      </c>
      <c r="C1762" s="178">
        <v>-9107.46</v>
      </c>
      <c r="D1762" s="178">
        <v>-451379.47</v>
      </c>
      <c r="E1762" s="178">
        <v>-460486.93</v>
      </c>
      <c r="F1762">
        <v>-9107.46</v>
      </c>
      <c r="G1762" t="s">
        <v>497</v>
      </c>
    </row>
    <row r="1763" spans="1:9">
      <c r="A1763" s="178">
        <v>470</v>
      </c>
      <c r="B1763" s="178" t="s">
        <v>638</v>
      </c>
      <c r="C1763" s="178">
        <v>0</v>
      </c>
      <c r="D1763" s="178">
        <v>504603.64</v>
      </c>
      <c r="E1763" s="178">
        <v>504603.64</v>
      </c>
      <c r="F1763">
        <v>0</v>
      </c>
      <c r="G1763" t="s">
        <v>497</v>
      </c>
    </row>
    <row r="1764" spans="1:9">
      <c r="A1764" s="178">
        <v>480</v>
      </c>
      <c r="B1764" s="178" t="s">
        <v>284</v>
      </c>
      <c r="C1764" s="178">
        <v>0</v>
      </c>
      <c r="D1764" s="178">
        <v>-12929.51</v>
      </c>
      <c r="E1764" s="178">
        <v>-12929.51</v>
      </c>
      <c r="F1764">
        <v>0</v>
      </c>
      <c r="G1764" t="s">
        <v>497</v>
      </c>
    </row>
    <row r="1765" spans="1:9">
      <c r="A1765" s="178">
        <v>490</v>
      </c>
      <c r="B1765" s="178" t="s">
        <v>639</v>
      </c>
      <c r="C1765" s="178">
        <v>0</v>
      </c>
      <c r="D1765" s="178">
        <v>0</v>
      </c>
      <c r="E1765" s="178">
        <v>0</v>
      </c>
      <c r="F1765">
        <v>0</v>
      </c>
      <c r="G1765" t="s">
        <v>497</v>
      </c>
    </row>
    <row r="1766" spans="1:9">
      <c r="A1766" s="178">
        <v>500</v>
      </c>
      <c r="B1766" s="178" t="s">
        <v>285</v>
      </c>
      <c r="C1766" s="178">
        <v>0</v>
      </c>
      <c r="D1766" s="178">
        <v>0</v>
      </c>
      <c r="E1766" s="178">
        <v>0</v>
      </c>
      <c r="F1766">
        <v>0</v>
      </c>
      <c r="G1766" t="s">
        <v>497</v>
      </c>
    </row>
    <row r="1767" spans="1:9">
      <c r="A1767" s="178">
        <v>510</v>
      </c>
      <c r="B1767" s="178" t="s">
        <v>640</v>
      </c>
      <c r="C1767" s="178">
        <v>0</v>
      </c>
      <c r="D1767" s="178">
        <v>0</v>
      </c>
      <c r="E1767" s="178">
        <v>0</v>
      </c>
      <c r="F1767">
        <v>0</v>
      </c>
      <c r="G1767" t="s">
        <v>497</v>
      </c>
    </row>
    <row r="1768" spans="1:9">
      <c r="A1768" s="178">
        <v>512</v>
      </c>
      <c r="B1768" s="178" t="s">
        <v>286</v>
      </c>
      <c r="C1768" s="178">
        <v>0</v>
      </c>
      <c r="D1768" s="178">
        <v>0</v>
      </c>
      <c r="E1768" s="178">
        <v>0</v>
      </c>
      <c r="F1768">
        <v>0</v>
      </c>
      <c r="G1768" t="s">
        <v>497</v>
      </c>
    </row>
    <row r="1769" spans="1:9">
      <c r="A1769" s="178">
        <v>514</v>
      </c>
      <c r="B1769" s="178" t="s">
        <v>641</v>
      </c>
      <c r="C1769" s="178">
        <v>0</v>
      </c>
      <c r="D1769" s="178">
        <v>0</v>
      </c>
      <c r="E1769" s="178">
        <v>0</v>
      </c>
      <c r="F1769">
        <v>0</v>
      </c>
      <c r="G1769" t="s">
        <v>497</v>
      </c>
    </row>
    <row r="1770" spans="1:9">
      <c r="A1770" s="178">
        <v>520</v>
      </c>
      <c r="B1770" s="178" t="s">
        <v>642</v>
      </c>
      <c r="C1770" s="178">
        <v>0</v>
      </c>
      <c r="D1770" s="178">
        <v>0</v>
      </c>
      <c r="E1770" s="178">
        <v>0</v>
      </c>
      <c r="F1770">
        <v>0</v>
      </c>
      <c r="G1770" t="s">
        <v>497</v>
      </c>
    </row>
    <row r="1771" spans="1:9">
      <c r="A1771" s="178">
        <v>530</v>
      </c>
      <c r="B1771" s="178" t="s">
        <v>643</v>
      </c>
      <c r="C1771" s="178">
        <v>0</v>
      </c>
      <c r="D1771" s="178">
        <v>0</v>
      </c>
      <c r="E1771" s="178">
        <v>0</v>
      </c>
      <c r="F1771">
        <v>0</v>
      </c>
      <c r="G1771" t="s">
        <v>497</v>
      </c>
    </row>
    <row r="1772" spans="1:9">
      <c r="A1772" s="178">
        <v>540</v>
      </c>
      <c r="B1772" s="178" t="s">
        <v>644</v>
      </c>
      <c r="C1772" s="178">
        <v>0</v>
      </c>
      <c r="D1772" s="178">
        <v>0</v>
      </c>
      <c r="E1772" s="178">
        <v>0</v>
      </c>
      <c r="F1772">
        <v>0</v>
      </c>
      <c r="G1772" t="s">
        <v>497</v>
      </c>
    </row>
    <row r="1773" spans="1:9">
      <c r="A1773" s="178">
        <v>550</v>
      </c>
      <c r="B1773" s="178" t="s">
        <v>645</v>
      </c>
      <c r="C1773" s="178">
        <v>0</v>
      </c>
      <c r="D1773" s="178">
        <v>0</v>
      </c>
      <c r="E1773" s="178">
        <v>0</v>
      </c>
      <c r="F1773">
        <v>0</v>
      </c>
      <c r="G1773" t="s">
        <v>497</v>
      </c>
    </row>
    <row r="1774" spans="1:9">
      <c r="A1774" s="178">
        <v>560</v>
      </c>
      <c r="B1774" s="178" t="s">
        <v>646</v>
      </c>
      <c r="C1774" s="178">
        <v>0</v>
      </c>
      <c r="D1774" s="178">
        <v>-382496</v>
      </c>
      <c r="E1774" s="178">
        <v>-382496</v>
      </c>
      <c r="F1774">
        <v>0</v>
      </c>
      <c r="G1774" t="s">
        <v>497</v>
      </c>
    </row>
    <row r="1775" spans="1:9">
      <c r="A1775" s="178">
        <v>570</v>
      </c>
      <c r="B1775" s="178" t="s">
        <v>647</v>
      </c>
      <c r="C1775" s="178">
        <v>0</v>
      </c>
      <c r="D1775" s="178">
        <v>5527.48</v>
      </c>
      <c r="E1775" s="178">
        <v>5527.48</v>
      </c>
      <c r="F1775">
        <v>0</v>
      </c>
      <c r="G1775" t="s">
        <v>497</v>
      </c>
    </row>
    <row r="1776" spans="1:9">
      <c r="A1776" s="178">
        <v>580</v>
      </c>
      <c r="B1776" s="178" t="s">
        <v>290</v>
      </c>
      <c r="C1776" s="178">
        <v>0</v>
      </c>
      <c r="D1776" s="178">
        <v>0</v>
      </c>
      <c r="E1776" s="178">
        <v>0</v>
      </c>
      <c r="F1776">
        <v>0</v>
      </c>
      <c r="G1776" t="s">
        <v>497</v>
      </c>
    </row>
    <row r="1777" spans="1:9">
      <c r="A1777" s="178">
        <v>590</v>
      </c>
      <c r="B1777" s="178" t="s">
        <v>648</v>
      </c>
      <c r="C1777" s="178">
        <v>0</v>
      </c>
      <c r="D1777" s="178">
        <v>0</v>
      </c>
      <c r="E1777" s="178">
        <v>0</v>
      </c>
      <c r="F1777">
        <v>0</v>
      </c>
      <c r="G1777" t="s">
        <v>497</v>
      </c>
    </row>
    <row r="1778" spans="1:9">
      <c r="A1778" s="178">
        <v>600</v>
      </c>
      <c r="B1778" s="178" t="s">
        <v>291</v>
      </c>
      <c r="C1778" s="178">
        <v>0</v>
      </c>
      <c r="D1778" s="178">
        <v>-444101</v>
      </c>
      <c r="E1778" s="178">
        <v>-444101</v>
      </c>
      <c r="F1778">
        <v>0</v>
      </c>
      <c r="G1778" t="s">
        <v>497</v>
      </c>
    </row>
    <row r="1779" spans="1:9">
      <c r="A1779" s="178">
        <v>610</v>
      </c>
      <c r="B1779" s="178" t="s">
        <v>649</v>
      </c>
      <c r="C1779" s="178">
        <v>5119.02</v>
      </c>
      <c r="D1779" s="178">
        <v>663206.01</v>
      </c>
      <c r="E1779" s="178">
        <v>668325.03</v>
      </c>
      <c r="F1779">
        <v>5119.02</v>
      </c>
      <c r="G1779" t="s">
        <v>497</v>
      </c>
    </row>
    <row r="1780" spans="1:9">
      <c r="A1780" s="178">
        <v>615</v>
      </c>
      <c r="B1780" s="178" t="s">
        <v>674</v>
      </c>
      <c r="C1780" s="178">
        <v>0</v>
      </c>
      <c r="D1780" s="178">
        <v>0</v>
      </c>
      <c r="E1780" s="178">
        <v>0</v>
      </c>
      <c r="F1780">
        <v>0</v>
      </c>
      <c r="G1780" t="s">
        <v>497</v>
      </c>
    </row>
    <row r="1781" spans="1:9">
      <c r="A1781" s="178">
        <v>620</v>
      </c>
      <c r="B1781" s="178" t="s">
        <v>292</v>
      </c>
      <c r="C1781" s="178">
        <v>0</v>
      </c>
      <c r="D1781" s="178">
        <v>0</v>
      </c>
      <c r="E1781" s="178">
        <v>0</v>
      </c>
      <c r="F1781">
        <v>0</v>
      </c>
      <c r="G1781" t="s">
        <v>497</v>
      </c>
    </row>
    <row r="1782" spans="1:9">
      <c r="A1782" s="178">
        <v>630</v>
      </c>
      <c r="B1782" s="178" t="s">
        <v>293</v>
      </c>
      <c r="C1782" s="178">
        <v>0</v>
      </c>
      <c r="D1782" s="178">
        <v>-56769</v>
      </c>
      <c r="E1782" s="178">
        <v>-56769</v>
      </c>
      <c r="F1782">
        <v>0</v>
      </c>
      <c r="G1782" t="s">
        <v>497</v>
      </c>
    </row>
    <row r="1783" spans="1:9">
      <c r="A1783" s="178">
        <v>635</v>
      </c>
      <c r="B1783" s="178" t="s">
        <v>675</v>
      </c>
      <c r="C1783" s="178">
        <v>0</v>
      </c>
      <c r="D1783" s="178">
        <v>-12929.51</v>
      </c>
      <c r="E1783" s="178">
        <v>-12929.51</v>
      </c>
      <c r="F1783">
        <v>0</v>
      </c>
      <c r="G1783" t="s">
        <v>497</v>
      </c>
    </row>
    <row r="1784" spans="1:9">
      <c r="A1784" s="178">
        <v>640</v>
      </c>
      <c r="B1784" s="178" t="s">
        <v>294</v>
      </c>
      <c r="C1784" s="178">
        <v>-3988.44</v>
      </c>
      <c r="D1784" s="178">
        <v>-187267.36</v>
      </c>
      <c r="E1784" s="178">
        <v>-191255.8</v>
      </c>
      <c r="F1784">
        <v>-3988.44</v>
      </c>
      <c r="G1784" t="s">
        <v>497</v>
      </c>
    </row>
    <row r="1785" spans="1:9">
      <c r="A1785" s="178">
        <v>650</v>
      </c>
      <c r="B1785" s="178" t="s">
        <v>295</v>
      </c>
      <c r="C1785" s="178">
        <v>-292670.81</v>
      </c>
      <c r="D1785" s="178">
        <v>349140.2</v>
      </c>
      <c r="E1785" s="178">
        <v>56469.39</v>
      </c>
      <c r="F1785">
        <v>-292670.81</v>
      </c>
      <c r="G1785" t="s">
        <v>497</v>
      </c>
    </row>
    <row r="1786" spans="1:9">
      <c r="A1786" s="178" t="s">
        <v>486</v>
      </c>
      <c r="B1786" s="178" t="s">
        <v>402</v>
      </c>
      <c r="C1786" s="178" t="s">
        <v>609</v>
      </c>
      <c r="D1786" s="178" t="s">
        <v>610</v>
      </c>
      <c r="E1786" s="178" t="s">
        <v>611</v>
      </c>
      <c r="F1786" t="s">
        <v>612</v>
      </c>
      <c r="G1786" t="s">
        <v>405</v>
      </c>
    </row>
    <row r="1787" spans="1:9">
      <c r="A1787" s="178">
        <v>10</v>
      </c>
      <c r="B1787" s="178" t="s">
        <v>613</v>
      </c>
      <c r="C1787" s="178">
        <v>0</v>
      </c>
      <c r="D1787" s="178">
        <v>0</v>
      </c>
      <c r="E1787" s="178">
        <v>0</v>
      </c>
      <c r="F1787">
        <v>0</v>
      </c>
      <c r="G1787" t="s">
        <v>497</v>
      </c>
    </row>
    <row r="1788" spans="1:9">
      <c r="A1788" s="178">
        <v>20</v>
      </c>
      <c r="B1788" s="178" t="s">
        <v>406</v>
      </c>
      <c r="C1788" s="178">
        <v>19984.28</v>
      </c>
      <c r="D1788" s="178">
        <v>0</v>
      </c>
      <c r="E1788" s="178">
        <v>19984.28</v>
      </c>
      <c r="F1788">
        <v>19984.28</v>
      </c>
      <c r="G1788" t="s">
        <v>497</v>
      </c>
    </row>
    <row r="1789" spans="1:9">
      <c r="A1789" s="178">
        <v>30</v>
      </c>
      <c r="B1789" s="178" t="s">
        <v>614</v>
      </c>
      <c r="C1789" s="178">
        <v>0</v>
      </c>
      <c r="D1789" s="178">
        <v>0</v>
      </c>
      <c r="E1789" s="178">
        <v>0</v>
      </c>
      <c r="F1789">
        <v>0</v>
      </c>
      <c r="G1789" t="s">
        <v>497</v>
      </c>
    </row>
    <row r="1790" spans="1:9">
      <c r="A1790" s="178">
        <v>35</v>
      </c>
      <c r="B1790" s="178" t="s">
        <v>615</v>
      </c>
      <c r="C1790" s="178">
        <v>19984.28</v>
      </c>
      <c r="D1790" s="178">
        <v>0</v>
      </c>
      <c r="E1790" s="178">
        <v>19984.28</v>
      </c>
      <c r="F1790">
        <v>19984.28</v>
      </c>
      <c r="G1790" t="s">
        <v>497</v>
      </c>
    </row>
    <row r="1791" spans="1:9">
      <c r="A1791" s="178">
        <v>40</v>
      </c>
      <c r="B1791" s="178" t="s">
        <v>616</v>
      </c>
      <c r="C1791" s="178">
        <v>0</v>
      </c>
      <c r="D1791" s="178">
        <v>0</v>
      </c>
      <c r="E1791" s="178">
        <v>0</v>
      </c>
      <c r="F1791">
        <v>0</v>
      </c>
      <c r="G1791" t="s">
        <v>497</v>
      </c>
    </row>
    <row r="1792" spans="1:9">
      <c r="A1792" s="178">
        <v>50</v>
      </c>
      <c r="B1792" s="178" t="s">
        <v>617</v>
      </c>
      <c r="C1792" s="178">
        <v>0</v>
      </c>
      <c r="D1792" s="178">
        <v>0</v>
      </c>
      <c r="E1792" s="178">
        <v>0</v>
      </c>
      <c r="F1792">
        <v>0</v>
      </c>
      <c r="G1792" t="s">
        <v>497</v>
      </c>
    </row>
    <row r="1793" spans="1:9">
      <c r="A1793" s="178">
        <v>60</v>
      </c>
      <c r="B1793" s="178" t="s">
        <v>618</v>
      </c>
      <c r="C1793" s="178">
        <v>19984.28</v>
      </c>
      <c r="D1793" s="178">
        <v>0</v>
      </c>
      <c r="E1793" s="178">
        <v>19984.28</v>
      </c>
      <c r="F1793">
        <v>19984.28</v>
      </c>
      <c r="G1793" t="s">
        <v>497</v>
      </c>
    </row>
    <row r="1794" spans="1:9">
      <c r="A1794" s="178">
        <v>70</v>
      </c>
      <c r="B1794" s="178" t="s">
        <v>412</v>
      </c>
      <c r="C1794" s="178">
        <v>1526.42</v>
      </c>
      <c r="D1794" s="178">
        <v>0</v>
      </c>
      <c r="E1794" s="178">
        <v>1526.42</v>
      </c>
      <c r="F1794">
        <v>1526.42</v>
      </c>
      <c r="G1794" t="s">
        <v>497</v>
      </c>
    </row>
    <row r="1795" spans="1:9">
      <c r="A1795" s="178">
        <v>80</v>
      </c>
      <c r="B1795" s="178" t="s">
        <v>413</v>
      </c>
      <c r="C1795" s="178">
        <v>0</v>
      </c>
      <c r="D1795" s="178">
        <v>0</v>
      </c>
      <c r="E1795" s="178">
        <v>0</v>
      </c>
      <c r="F1795">
        <v>0</v>
      </c>
      <c r="G1795" t="s">
        <v>497</v>
      </c>
    </row>
    <row r="1796" spans="1:9">
      <c r="A1796" s="178">
        <v>90</v>
      </c>
      <c r="B1796" s="178" t="s">
        <v>619</v>
      </c>
      <c r="C1796" s="178">
        <v>2809.12</v>
      </c>
      <c r="D1796" s="178">
        <v>0</v>
      </c>
      <c r="E1796" s="178">
        <v>2809.12</v>
      </c>
      <c r="F1796">
        <v>2809.12</v>
      </c>
      <c r="G1796" t="s">
        <v>497</v>
      </c>
    </row>
    <row r="1797" spans="1:9">
      <c r="A1797" s="178">
        <v>100</v>
      </c>
      <c r="B1797" s="178" t="s">
        <v>620</v>
      </c>
      <c r="C1797" s="178">
        <v>15648.74</v>
      </c>
      <c r="D1797" s="178">
        <v>0</v>
      </c>
      <c r="E1797" s="178">
        <v>15648.74</v>
      </c>
      <c r="F1797">
        <v>15648.74</v>
      </c>
      <c r="G1797" t="s">
        <v>497</v>
      </c>
    </row>
    <row r="1798" spans="1:9">
      <c r="A1798" s="178">
        <v>110</v>
      </c>
      <c r="B1798" s="178" t="s">
        <v>621</v>
      </c>
      <c r="C1798" s="178">
        <v>0</v>
      </c>
      <c r="D1798" s="178">
        <v>0</v>
      </c>
      <c r="E1798" s="178">
        <v>0</v>
      </c>
      <c r="F1798">
        <v>0</v>
      </c>
      <c r="G1798" t="s">
        <v>497</v>
      </c>
    </row>
    <row r="1799" spans="1:9">
      <c r="A1799" s="178">
        <v>120</v>
      </c>
      <c r="B1799" s="178" t="s">
        <v>622</v>
      </c>
      <c r="C1799" s="178">
        <v>0</v>
      </c>
      <c r="D1799" s="178">
        <v>0</v>
      </c>
      <c r="E1799" s="178">
        <v>0</v>
      </c>
      <c r="F1799">
        <v>0</v>
      </c>
      <c r="G1799" t="s">
        <v>497</v>
      </c>
    </row>
    <row r="1800" spans="1:9">
      <c r="A1800" s="178">
        <v>130</v>
      </c>
      <c r="B1800" s="178" t="s">
        <v>623</v>
      </c>
      <c r="C1800" s="178">
        <v>1347.9</v>
      </c>
      <c r="D1800" s="178">
        <v>0</v>
      </c>
      <c r="E1800" s="178">
        <v>1347.9</v>
      </c>
      <c r="F1800">
        <v>1347.9</v>
      </c>
      <c r="G1800" t="s">
        <v>497</v>
      </c>
    </row>
    <row r="1801" spans="1:9">
      <c r="A1801" s="178">
        <v>140</v>
      </c>
      <c r="B1801" s="178" t="s">
        <v>624</v>
      </c>
      <c r="C1801" s="178">
        <v>0</v>
      </c>
      <c r="D1801" s="178">
        <v>0</v>
      </c>
      <c r="E1801" s="178">
        <v>0</v>
      </c>
      <c r="F1801">
        <v>0</v>
      </c>
      <c r="G1801" t="s">
        <v>497</v>
      </c>
    </row>
    <row r="1802" spans="1:9">
      <c r="A1802" s="178">
        <v>145</v>
      </c>
      <c r="B1802" s="178" t="s">
        <v>422</v>
      </c>
      <c r="C1802" s="178">
        <v>1347.9</v>
      </c>
      <c r="D1802" s="178">
        <v>0</v>
      </c>
      <c r="E1802" s="178">
        <v>1347.9</v>
      </c>
      <c r="F1802">
        <v>1347.9</v>
      </c>
      <c r="G1802" t="s">
        <v>497</v>
      </c>
    </row>
    <row r="1803" spans="1:9">
      <c r="A1803" s="178">
        <v>150</v>
      </c>
      <c r="B1803" s="178" t="s">
        <v>625</v>
      </c>
      <c r="C1803" s="178">
        <v>14300.84</v>
      </c>
      <c r="D1803" s="178">
        <v>0</v>
      </c>
      <c r="E1803" s="178">
        <v>14300.84</v>
      </c>
      <c r="F1803">
        <v>14300.84</v>
      </c>
      <c r="G1803" t="s">
        <v>497</v>
      </c>
    </row>
    <row r="1804" spans="1:9">
      <c r="A1804" s="178">
        <v>160</v>
      </c>
      <c r="B1804" s="178" t="s">
        <v>626</v>
      </c>
      <c r="C1804" s="178">
        <v>0</v>
      </c>
      <c r="D1804" s="178">
        <v>0</v>
      </c>
      <c r="E1804" s="178">
        <v>0</v>
      </c>
      <c r="F1804">
        <v>0</v>
      </c>
      <c r="G1804" t="s">
        <v>497</v>
      </c>
    </row>
    <row r="1805" spans="1:9">
      <c r="A1805" s="178">
        <v>170</v>
      </c>
      <c r="B1805" s="178" t="s">
        <v>426</v>
      </c>
      <c r="C1805" s="178">
        <v>14300.84</v>
      </c>
      <c r="D1805" s="178">
        <v>0</v>
      </c>
      <c r="E1805" s="178">
        <v>14300.84</v>
      </c>
      <c r="F1805">
        <v>14300.84</v>
      </c>
      <c r="G1805" t="s">
        <v>497</v>
      </c>
    </row>
    <row r="1806" spans="1:9">
      <c r="A1806" s="178">
        <v>190</v>
      </c>
      <c r="B1806" s="178" t="s">
        <v>627</v>
      </c>
      <c r="C1806" s="178">
        <v>0</v>
      </c>
      <c r="D1806" s="178">
        <v>0</v>
      </c>
      <c r="E1806" s="178">
        <v>0</v>
      </c>
      <c r="F1806">
        <v>0</v>
      </c>
      <c r="G1806" t="s">
        <v>497</v>
      </c>
    </row>
    <row r="1807" spans="1:9">
      <c r="A1807" s="178">
        <v>200</v>
      </c>
      <c r="B1807" s="178" t="s">
        <v>426</v>
      </c>
      <c r="C1807" s="178">
        <v>14300.84</v>
      </c>
      <c r="D1807" s="178">
        <v>0</v>
      </c>
      <c r="E1807" s="178">
        <v>14300.84</v>
      </c>
      <c r="F1807">
        <v>14300.84</v>
      </c>
      <c r="G1807" t="s">
        <v>497</v>
      </c>
    </row>
    <row r="1808" spans="1:9">
      <c r="A1808" s="178">
        <v>210</v>
      </c>
      <c r="B1808" s="178" t="s">
        <v>264</v>
      </c>
      <c r="C1808" s="178">
        <v>14300.84</v>
      </c>
      <c r="D1808" s="178">
        <v>0</v>
      </c>
      <c r="E1808" s="178">
        <v>14300.84</v>
      </c>
      <c r="F1808">
        <v>14300.84</v>
      </c>
      <c r="G1808" t="s">
        <v>497</v>
      </c>
    </row>
    <row r="1809" spans="1:9">
      <c r="A1809" s="178">
        <v>220</v>
      </c>
      <c r="B1809" s="178" t="s">
        <v>628</v>
      </c>
      <c r="C1809" s="178">
        <v>0</v>
      </c>
      <c r="D1809" s="178">
        <v>0</v>
      </c>
      <c r="E1809" s="178">
        <v>0</v>
      </c>
      <c r="F1809">
        <v>0</v>
      </c>
      <c r="G1809" t="s">
        <v>497</v>
      </c>
    </row>
    <row r="1810" spans="1:9">
      <c r="A1810" s="178">
        <v>230</v>
      </c>
      <c r="B1810" s="178" t="s">
        <v>266</v>
      </c>
      <c r="C1810" s="178">
        <v>0</v>
      </c>
      <c r="D1810" s="178">
        <v>0</v>
      </c>
      <c r="E1810" s="178">
        <v>0</v>
      </c>
      <c r="F1810">
        <v>0</v>
      </c>
      <c r="G1810" t="s">
        <v>497</v>
      </c>
    </row>
    <row r="1811" spans="1:9">
      <c r="A1811" s="178">
        <v>235</v>
      </c>
      <c r="B1811" s="178" t="s">
        <v>629</v>
      </c>
      <c r="C1811" s="178">
        <v>0</v>
      </c>
      <c r="D1811" s="178">
        <v>-30000</v>
      </c>
      <c r="E1811" s="178">
        <v>-30000</v>
      </c>
      <c r="F1811">
        <v>0</v>
      </c>
      <c r="G1811" t="s">
        <v>497</v>
      </c>
    </row>
    <row r="1812" spans="1:9">
      <c r="A1812" s="178">
        <v>240</v>
      </c>
      <c r="B1812" s="178" t="s">
        <v>267</v>
      </c>
      <c r="C1812" s="178">
        <v>-431375</v>
      </c>
      <c r="D1812" s="178">
        <v>-2865518.57</v>
      </c>
      <c r="E1812" s="178">
        <v>-3296893.57</v>
      </c>
      <c r="F1812">
        <v>-431375</v>
      </c>
      <c r="G1812" t="s">
        <v>497</v>
      </c>
    </row>
    <row r="1813" spans="1:9">
      <c r="A1813" s="178">
        <v>250</v>
      </c>
      <c r="B1813" s="178" t="s">
        <v>268</v>
      </c>
      <c r="C1813" s="178">
        <v>0</v>
      </c>
      <c r="D1813" s="178">
        <v>0</v>
      </c>
      <c r="E1813" s="178">
        <v>0</v>
      </c>
      <c r="F1813">
        <v>0</v>
      </c>
      <c r="G1813" t="s">
        <v>497</v>
      </c>
    </row>
    <row r="1814" spans="1:9">
      <c r="A1814" s="178">
        <v>260</v>
      </c>
      <c r="B1814" s="178"/>
      <c r="C1814" s="178">
        <v>0</v>
      </c>
      <c r="D1814" s="178">
        <v>0</v>
      </c>
      <c r="E1814" s="178">
        <v>0</v>
      </c>
      <c r="F1814">
        <v>0</v>
      </c>
      <c r="G1814" t="s">
        <v>497</v>
      </c>
    </row>
    <row r="1815" spans="1:9">
      <c r="A1815" s="178">
        <v>270</v>
      </c>
      <c r="B1815" s="178" t="s">
        <v>269</v>
      </c>
      <c r="C1815" s="178">
        <v>611.11</v>
      </c>
      <c r="D1815" s="178">
        <v>-55730.68</v>
      </c>
      <c r="E1815" s="178">
        <v>-55119.57</v>
      </c>
      <c r="F1815">
        <v>611.11</v>
      </c>
      <c r="G1815" t="s">
        <v>497</v>
      </c>
    </row>
    <row r="1816" spans="1:9">
      <c r="A1816" s="178">
        <v>300</v>
      </c>
      <c r="B1816" s="178" t="s">
        <v>270</v>
      </c>
      <c r="C1816" s="178">
        <v>0</v>
      </c>
      <c r="D1816" s="178">
        <v>0</v>
      </c>
      <c r="E1816" s="178">
        <v>0</v>
      </c>
      <c r="F1816">
        <v>0</v>
      </c>
      <c r="G1816" t="s">
        <v>497</v>
      </c>
    </row>
    <row r="1817" spans="1:9">
      <c r="A1817" s="178">
        <v>310</v>
      </c>
      <c r="B1817" s="178" t="s">
        <v>631</v>
      </c>
      <c r="C1817" s="178">
        <v>0</v>
      </c>
      <c r="D1817" s="178">
        <v>0</v>
      </c>
      <c r="E1817" s="178">
        <v>0</v>
      </c>
      <c r="F1817">
        <v>0</v>
      </c>
      <c r="G1817" t="s">
        <v>497</v>
      </c>
    </row>
    <row r="1818" spans="1:9">
      <c r="A1818" s="178">
        <v>320</v>
      </c>
      <c r="B1818" s="178" t="s">
        <v>271</v>
      </c>
      <c r="C1818" s="178">
        <v>0</v>
      </c>
      <c r="D1818" s="178">
        <v>0</v>
      </c>
      <c r="E1818" s="178">
        <v>0</v>
      </c>
      <c r="F1818">
        <v>0</v>
      </c>
      <c r="G1818" t="s">
        <v>497</v>
      </c>
    </row>
    <row r="1819" spans="1:9">
      <c r="A1819" s="178">
        <v>325</v>
      </c>
      <c r="B1819" s="178" t="s">
        <v>272</v>
      </c>
      <c r="C1819" s="178">
        <v>-19087.22</v>
      </c>
      <c r="D1819" s="178">
        <v>1572003.89</v>
      </c>
      <c r="E1819" s="178">
        <v>1552916.67</v>
      </c>
      <c r="F1819">
        <v>-19087.22</v>
      </c>
      <c r="G1819" t="s">
        <v>497</v>
      </c>
    </row>
    <row r="1820" spans="1:9">
      <c r="A1820" s="178">
        <v>330</v>
      </c>
      <c r="B1820" s="178" t="s">
        <v>691</v>
      </c>
      <c r="C1820" s="178">
        <v>0</v>
      </c>
      <c r="D1820" s="178">
        <v>0</v>
      </c>
      <c r="E1820" s="178">
        <v>0</v>
      </c>
      <c r="F1820">
        <v>0</v>
      </c>
      <c r="G1820" t="s">
        <v>497</v>
      </c>
    </row>
    <row r="1821" spans="1:9">
      <c r="A1821" s="178">
        <v>340</v>
      </c>
      <c r="B1821" s="178" t="s">
        <v>633</v>
      </c>
      <c r="C1821" s="178">
        <v>0</v>
      </c>
      <c r="D1821" s="178">
        <v>0</v>
      </c>
      <c r="E1821" s="178">
        <v>0</v>
      </c>
      <c r="F1821">
        <v>0</v>
      </c>
      <c r="G1821" t="s">
        <v>497</v>
      </c>
    </row>
    <row r="1822" spans="1:9">
      <c r="A1822" s="178">
        <v>380</v>
      </c>
      <c r="B1822" s="178" t="s">
        <v>634</v>
      </c>
      <c r="C1822" s="178">
        <v>-449851.11</v>
      </c>
      <c r="D1822" s="178">
        <v>-1379245.36</v>
      </c>
      <c r="E1822" s="178">
        <v>-1829096.47</v>
      </c>
      <c r="F1822">
        <v>-449851.11</v>
      </c>
      <c r="G1822" t="s">
        <v>497</v>
      </c>
    </row>
    <row r="1823" spans="1:9">
      <c r="A1823" s="178">
        <v>390</v>
      </c>
      <c r="B1823" s="178" t="s">
        <v>273</v>
      </c>
      <c r="C1823" s="178">
        <v>0</v>
      </c>
      <c r="D1823" s="178">
        <v>0</v>
      </c>
      <c r="E1823" s="178">
        <v>0</v>
      </c>
      <c r="F1823">
        <v>0</v>
      </c>
      <c r="G1823" t="s">
        <v>497</v>
      </c>
    </row>
    <row r="1824" spans="1:9">
      <c r="A1824" s="178">
        <v>400</v>
      </c>
      <c r="B1824" s="178" t="s">
        <v>274</v>
      </c>
      <c r="C1824" s="178">
        <v>392224.9</v>
      </c>
      <c r="D1824" s="178">
        <v>1800600.88</v>
      </c>
      <c r="E1824" s="178">
        <v>2192825.78</v>
      </c>
      <c r="F1824">
        <v>392224.9</v>
      </c>
      <c r="G1824" t="s">
        <v>497</v>
      </c>
    </row>
    <row r="1825" spans="1:9">
      <c r="A1825" s="178">
        <v>405</v>
      </c>
      <c r="B1825" s="178" t="s">
        <v>275</v>
      </c>
      <c r="C1825" s="178">
        <v>0</v>
      </c>
      <c r="D1825" s="178">
        <v>0</v>
      </c>
      <c r="E1825" s="178">
        <v>0</v>
      </c>
      <c r="F1825">
        <v>0</v>
      </c>
      <c r="G1825" t="s">
        <v>497</v>
      </c>
    </row>
    <row r="1826" spans="1:9">
      <c r="A1826" s="178">
        <v>410</v>
      </c>
      <c r="B1826" s="178" t="s">
        <v>276</v>
      </c>
      <c r="C1826" s="178">
        <v>0</v>
      </c>
      <c r="D1826" s="178">
        <v>0</v>
      </c>
      <c r="E1826" s="178">
        <v>0</v>
      </c>
      <c r="F1826">
        <v>0</v>
      </c>
      <c r="G1826" t="s">
        <v>497</v>
      </c>
    </row>
    <row r="1827" spans="1:9">
      <c r="A1827" s="178">
        <v>420</v>
      </c>
      <c r="B1827" s="178" t="s">
        <v>277</v>
      </c>
      <c r="C1827" s="178">
        <v>0</v>
      </c>
      <c r="D1827" s="178">
        <v>-797390.69</v>
      </c>
      <c r="E1827" s="178">
        <v>-797390.69</v>
      </c>
      <c r="F1827">
        <v>0</v>
      </c>
      <c r="G1827" t="s">
        <v>497</v>
      </c>
    </row>
    <row r="1828" spans="1:9">
      <c r="A1828" s="178">
        <v>425</v>
      </c>
      <c r="B1828" s="178" t="s">
        <v>635</v>
      </c>
      <c r="C1828" s="178">
        <v>0</v>
      </c>
      <c r="D1828" s="178">
        <v>0</v>
      </c>
      <c r="E1828" s="178">
        <v>0</v>
      </c>
      <c r="F1828">
        <v>0</v>
      </c>
      <c r="G1828" t="s">
        <v>497</v>
      </c>
    </row>
    <row r="1829" spans="1:9">
      <c r="A1829" s="178">
        <v>427</v>
      </c>
      <c r="B1829" s="178" t="s">
        <v>636</v>
      </c>
      <c r="C1829" s="178">
        <v>0</v>
      </c>
      <c r="D1829" s="178">
        <v>0</v>
      </c>
      <c r="E1829" s="178">
        <v>0</v>
      </c>
      <c r="F1829">
        <v>0</v>
      </c>
      <c r="G1829" t="s">
        <v>497</v>
      </c>
    </row>
    <row r="1830" spans="1:9">
      <c r="A1830" s="178">
        <v>430</v>
      </c>
      <c r="B1830" s="178" t="s">
        <v>279</v>
      </c>
      <c r="C1830" s="178">
        <v>0</v>
      </c>
      <c r="D1830" s="178">
        <v>1735082.39</v>
      </c>
      <c r="E1830" s="178">
        <v>1735082.39</v>
      </c>
      <c r="F1830">
        <v>0</v>
      </c>
      <c r="G1830" t="s">
        <v>497</v>
      </c>
    </row>
    <row r="1831" spans="1:9">
      <c r="A1831" s="178">
        <v>440</v>
      </c>
      <c r="B1831" s="178" t="s">
        <v>280</v>
      </c>
      <c r="C1831" s="178">
        <v>392224.9</v>
      </c>
      <c r="D1831" s="178">
        <v>2738292.58</v>
      </c>
      <c r="E1831" s="178">
        <v>3130517.48</v>
      </c>
      <c r="F1831">
        <v>392224.9</v>
      </c>
      <c r="G1831" t="s">
        <v>497</v>
      </c>
    </row>
    <row r="1832" spans="1:9">
      <c r="A1832" s="178">
        <v>450</v>
      </c>
      <c r="B1832" s="178" t="s">
        <v>281</v>
      </c>
      <c r="C1832" s="178">
        <v>0</v>
      </c>
      <c r="D1832" s="178">
        <v>0</v>
      </c>
      <c r="E1832" s="178">
        <v>0</v>
      </c>
      <c r="F1832">
        <v>0</v>
      </c>
      <c r="G1832" t="s">
        <v>497</v>
      </c>
    </row>
    <row r="1833" spans="1:9">
      <c r="A1833" s="178">
        <v>455</v>
      </c>
      <c r="B1833" s="178" t="s">
        <v>282</v>
      </c>
      <c r="C1833" s="178">
        <v>0</v>
      </c>
      <c r="D1833" s="178">
        <v>-1442526.4</v>
      </c>
      <c r="E1833" s="178">
        <v>-1442526.4</v>
      </c>
      <c r="F1833">
        <v>0</v>
      </c>
      <c r="G1833" t="s">
        <v>497</v>
      </c>
    </row>
    <row r="1834" spans="1:9">
      <c r="A1834" s="178">
        <v>456</v>
      </c>
      <c r="B1834" s="178" t="s">
        <v>637</v>
      </c>
      <c r="C1834" s="178">
        <v>2809.12</v>
      </c>
      <c r="D1834" s="178">
        <v>125678.44</v>
      </c>
      <c r="E1834" s="178">
        <v>128487.56</v>
      </c>
      <c r="F1834">
        <v>2809.12</v>
      </c>
      <c r="G1834" t="s">
        <v>497</v>
      </c>
    </row>
    <row r="1835" spans="1:9">
      <c r="A1835" s="178">
        <v>460</v>
      </c>
      <c r="B1835" s="178" t="s">
        <v>283</v>
      </c>
      <c r="C1835" s="178">
        <v>0</v>
      </c>
      <c r="D1835" s="178">
        <v>0</v>
      </c>
      <c r="E1835" s="178">
        <v>0</v>
      </c>
      <c r="F1835">
        <v>0</v>
      </c>
      <c r="G1835" t="s">
        <v>497</v>
      </c>
    </row>
    <row r="1836" spans="1:9">
      <c r="A1836" s="178">
        <v>470</v>
      </c>
      <c r="B1836" s="178" t="s">
        <v>638</v>
      </c>
      <c r="C1836" s="178">
        <v>0</v>
      </c>
      <c r="D1836" s="178">
        <v>0</v>
      </c>
      <c r="E1836" s="178">
        <v>0</v>
      </c>
      <c r="F1836">
        <v>0</v>
      </c>
      <c r="G1836" t="s">
        <v>497</v>
      </c>
    </row>
    <row r="1837" spans="1:9">
      <c r="A1837" s="178">
        <v>480</v>
      </c>
      <c r="B1837" s="178" t="s">
        <v>284</v>
      </c>
      <c r="C1837" s="178">
        <v>0</v>
      </c>
      <c r="D1837" s="178">
        <v>0</v>
      </c>
      <c r="E1837" s="178">
        <v>0</v>
      </c>
      <c r="F1837">
        <v>0</v>
      </c>
      <c r="G1837" t="s">
        <v>497</v>
      </c>
    </row>
    <row r="1838" spans="1:9">
      <c r="A1838" s="178">
        <v>490</v>
      </c>
      <c r="B1838" s="178" t="s">
        <v>639</v>
      </c>
      <c r="C1838" s="178">
        <v>0</v>
      </c>
      <c r="D1838" s="178">
        <v>0</v>
      </c>
      <c r="E1838" s="178">
        <v>0</v>
      </c>
      <c r="F1838">
        <v>0</v>
      </c>
      <c r="G1838" t="s">
        <v>497</v>
      </c>
    </row>
    <row r="1839" spans="1:9">
      <c r="A1839" s="178">
        <v>500</v>
      </c>
      <c r="B1839" s="178" t="s">
        <v>285</v>
      </c>
      <c r="C1839" s="178">
        <v>0</v>
      </c>
      <c r="D1839" s="178">
        <v>0</v>
      </c>
      <c r="E1839" s="178">
        <v>0</v>
      </c>
      <c r="F1839">
        <v>0</v>
      </c>
      <c r="G1839" t="s">
        <v>497</v>
      </c>
    </row>
    <row r="1840" spans="1:9">
      <c r="A1840" s="178">
        <v>510</v>
      </c>
      <c r="B1840" s="178" t="s">
        <v>640</v>
      </c>
      <c r="C1840" s="178">
        <v>0</v>
      </c>
      <c r="D1840" s="178">
        <v>0</v>
      </c>
      <c r="E1840" s="178">
        <v>0</v>
      </c>
      <c r="F1840">
        <v>0</v>
      </c>
      <c r="G1840" t="s">
        <v>497</v>
      </c>
    </row>
    <row r="1841" spans="1:9">
      <c r="A1841" s="178">
        <v>512</v>
      </c>
      <c r="B1841" s="178" t="s">
        <v>286</v>
      </c>
      <c r="C1841" s="178">
        <v>0</v>
      </c>
      <c r="D1841" s="178">
        <v>0</v>
      </c>
      <c r="E1841" s="178">
        <v>0</v>
      </c>
      <c r="F1841">
        <v>0</v>
      </c>
      <c r="G1841" t="s">
        <v>497</v>
      </c>
    </row>
    <row r="1842" spans="1:9">
      <c r="A1842" s="178">
        <v>514</v>
      </c>
      <c r="B1842" s="178" t="s">
        <v>641</v>
      </c>
      <c r="C1842" s="178">
        <v>0</v>
      </c>
      <c r="D1842" s="178">
        <v>0</v>
      </c>
      <c r="E1842" s="178">
        <v>0</v>
      </c>
      <c r="F1842">
        <v>0</v>
      </c>
      <c r="G1842" t="s">
        <v>497</v>
      </c>
    </row>
    <row r="1843" spans="1:9">
      <c r="A1843" s="178">
        <v>520</v>
      </c>
      <c r="B1843" s="178" t="s">
        <v>642</v>
      </c>
      <c r="C1843" s="178">
        <v>0</v>
      </c>
      <c r="D1843" s="178">
        <v>0</v>
      </c>
      <c r="E1843" s="178">
        <v>0</v>
      </c>
      <c r="F1843">
        <v>0</v>
      </c>
      <c r="G1843" t="s">
        <v>497</v>
      </c>
    </row>
    <row r="1844" spans="1:9">
      <c r="A1844" s="178">
        <v>530</v>
      </c>
      <c r="B1844" s="178" t="s">
        <v>643</v>
      </c>
      <c r="C1844" s="178">
        <v>0</v>
      </c>
      <c r="D1844" s="178">
        <v>0</v>
      </c>
      <c r="E1844" s="178">
        <v>0</v>
      </c>
      <c r="F1844">
        <v>0</v>
      </c>
      <c r="G1844" t="s">
        <v>497</v>
      </c>
    </row>
    <row r="1845" spans="1:9">
      <c r="A1845" s="178">
        <v>540</v>
      </c>
      <c r="B1845" s="178" t="s">
        <v>644</v>
      </c>
      <c r="C1845" s="178">
        <v>0</v>
      </c>
      <c r="D1845" s="178">
        <v>0</v>
      </c>
      <c r="E1845" s="178">
        <v>0</v>
      </c>
      <c r="F1845">
        <v>0</v>
      </c>
      <c r="G1845" t="s">
        <v>497</v>
      </c>
    </row>
    <row r="1846" spans="1:9">
      <c r="A1846" s="178">
        <v>550</v>
      </c>
      <c r="B1846" s="178" t="s">
        <v>645</v>
      </c>
      <c r="C1846" s="178">
        <v>0</v>
      </c>
      <c r="D1846" s="178">
        <v>0</v>
      </c>
      <c r="E1846" s="178">
        <v>0</v>
      </c>
      <c r="F1846">
        <v>0</v>
      </c>
      <c r="G1846" t="s">
        <v>497</v>
      </c>
    </row>
    <row r="1847" spans="1:9">
      <c r="A1847" s="178">
        <v>560</v>
      </c>
      <c r="B1847" s="178" t="s">
        <v>646</v>
      </c>
      <c r="C1847" s="178">
        <v>0</v>
      </c>
      <c r="D1847" s="178">
        <v>-400</v>
      </c>
      <c r="E1847" s="178">
        <v>-400</v>
      </c>
      <c r="F1847">
        <v>0</v>
      </c>
      <c r="G1847" t="s">
        <v>497</v>
      </c>
    </row>
    <row r="1848" spans="1:9">
      <c r="A1848" s="178">
        <v>570</v>
      </c>
      <c r="B1848" s="178" t="s">
        <v>647</v>
      </c>
      <c r="C1848" s="178">
        <v>0</v>
      </c>
      <c r="D1848" s="178">
        <v>2461</v>
      </c>
      <c r="E1848" s="178">
        <v>2461</v>
      </c>
      <c r="F1848">
        <v>0</v>
      </c>
      <c r="G1848" t="s">
        <v>497</v>
      </c>
    </row>
    <row r="1849" spans="1:9">
      <c r="A1849" s="178">
        <v>580</v>
      </c>
      <c r="B1849" s="178" t="s">
        <v>290</v>
      </c>
      <c r="C1849" s="178">
        <v>0</v>
      </c>
      <c r="D1849" s="178">
        <v>0</v>
      </c>
      <c r="E1849" s="178">
        <v>0</v>
      </c>
      <c r="F1849">
        <v>0</v>
      </c>
      <c r="G1849" t="s">
        <v>497</v>
      </c>
    </row>
    <row r="1850" spans="1:9">
      <c r="A1850" s="178">
        <v>590</v>
      </c>
      <c r="B1850" s="178" t="s">
        <v>648</v>
      </c>
      <c r="C1850" s="178">
        <v>0</v>
      </c>
      <c r="D1850" s="178">
        <v>0</v>
      </c>
      <c r="E1850" s="178">
        <v>0</v>
      </c>
      <c r="F1850">
        <v>0</v>
      </c>
      <c r="G1850" t="s">
        <v>497</v>
      </c>
    </row>
    <row r="1851" spans="1:9">
      <c r="A1851" s="178">
        <v>600</v>
      </c>
      <c r="B1851" s="178" t="s">
        <v>291</v>
      </c>
      <c r="C1851" s="178">
        <v>0</v>
      </c>
      <c r="D1851" s="178">
        <v>0</v>
      </c>
      <c r="E1851" s="178">
        <v>0</v>
      </c>
      <c r="F1851">
        <v>0</v>
      </c>
      <c r="G1851" t="s">
        <v>497</v>
      </c>
    </row>
    <row r="1852" spans="1:9">
      <c r="A1852" s="178">
        <v>610</v>
      </c>
      <c r="B1852" s="178" t="s">
        <v>649</v>
      </c>
      <c r="C1852" s="178">
        <v>0</v>
      </c>
      <c r="D1852" s="178">
        <v>0</v>
      </c>
      <c r="E1852" s="178">
        <v>0</v>
      </c>
      <c r="F1852">
        <v>0</v>
      </c>
      <c r="G1852" t="s">
        <v>497</v>
      </c>
    </row>
    <row r="1853" spans="1:9">
      <c r="A1853" s="178">
        <v>615</v>
      </c>
      <c r="B1853" s="178" t="s">
        <v>674</v>
      </c>
      <c r="C1853" s="178">
        <v>0</v>
      </c>
      <c r="D1853" s="178">
        <v>0</v>
      </c>
      <c r="E1853" s="178">
        <v>0</v>
      </c>
      <c r="F1853">
        <v>0</v>
      </c>
      <c r="G1853" t="s">
        <v>497</v>
      </c>
    </row>
    <row r="1854" spans="1:9">
      <c r="A1854" s="178">
        <v>620</v>
      </c>
      <c r="B1854" s="178" t="s">
        <v>292</v>
      </c>
      <c r="C1854" s="178">
        <v>0</v>
      </c>
      <c r="D1854" s="178">
        <v>0</v>
      </c>
      <c r="E1854" s="178">
        <v>0</v>
      </c>
      <c r="F1854">
        <v>0</v>
      </c>
      <c r="G1854" t="s">
        <v>497</v>
      </c>
    </row>
    <row r="1855" spans="1:9">
      <c r="A1855" s="178">
        <v>630</v>
      </c>
      <c r="B1855" s="178" t="s">
        <v>293</v>
      </c>
      <c r="C1855" s="178">
        <v>0</v>
      </c>
      <c r="D1855" s="178">
        <v>0</v>
      </c>
      <c r="E1855" s="178">
        <v>0</v>
      </c>
      <c r="F1855">
        <v>0</v>
      </c>
      <c r="G1855" t="s">
        <v>497</v>
      </c>
    </row>
    <row r="1856" spans="1:9">
      <c r="A1856" s="178">
        <v>635</v>
      </c>
      <c r="B1856" s="178" t="s">
        <v>675</v>
      </c>
      <c r="C1856" s="178">
        <v>0</v>
      </c>
      <c r="D1856" s="178">
        <v>0</v>
      </c>
      <c r="E1856" s="178">
        <v>0</v>
      </c>
      <c r="F1856">
        <v>0</v>
      </c>
      <c r="G1856" t="s">
        <v>497</v>
      </c>
    </row>
    <row r="1857" spans="1:9">
      <c r="A1857" s="178">
        <v>640</v>
      </c>
      <c r="B1857" s="178" t="s">
        <v>294</v>
      </c>
      <c r="C1857" s="178">
        <v>2809.12</v>
      </c>
      <c r="D1857" s="178">
        <v>-1314786.96</v>
      </c>
      <c r="E1857" s="178">
        <v>-1311977.84</v>
      </c>
      <c r="F1857">
        <v>2809.12</v>
      </c>
      <c r="G1857" t="s">
        <v>497</v>
      </c>
    </row>
    <row r="1858" spans="1:9">
      <c r="A1858" s="178">
        <v>650</v>
      </c>
      <c r="B1858" s="178" t="s">
        <v>295</v>
      </c>
      <c r="C1858" s="178">
        <v>-40516.25</v>
      </c>
      <c r="D1858" s="178">
        <v>44260.26</v>
      </c>
      <c r="E1858" s="178">
        <v>3744.01</v>
      </c>
      <c r="F1858">
        <v>-40516.25</v>
      </c>
      <c r="G1858" t="s">
        <v>497</v>
      </c>
    </row>
    <row r="1859" spans="1:9">
      <c r="A1859" s="178" t="s">
        <v>487</v>
      </c>
      <c r="B1859" s="178" t="s">
        <v>402</v>
      </c>
      <c r="C1859" s="178" t="s">
        <v>609</v>
      </c>
      <c r="D1859" s="178" t="s">
        <v>610</v>
      </c>
      <c r="E1859" s="178" t="s">
        <v>611</v>
      </c>
      <c r="F1859" t="s">
        <v>612</v>
      </c>
      <c r="G1859" t="s">
        <v>405</v>
      </c>
    </row>
    <row r="1860" spans="1:9">
      <c r="A1860" s="178">
        <v>10</v>
      </c>
      <c r="B1860" s="178" t="s">
        <v>613</v>
      </c>
      <c r="C1860" s="178">
        <v>0</v>
      </c>
      <c r="D1860" s="178">
        <v>0</v>
      </c>
      <c r="E1860" s="178">
        <v>0</v>
      </c>
      <c r="F1860">
        <v>0</v>
      </c>
      <c r="G1860" t="s">
        <v>497</v>
      </c>
    </row>
    <row r="1861" spans="1:9">
      <c r="A1861" s="178">
        <v>20</v>
      </c>
      <c r="B1861" s="178" t="s">
        <v>406</v>
      </c>
      <c r="C1861" s="178">
        <v>5183</v>
      </c>
      <c r="D1861" s="178">
        <v>0</v>
      </c>
      <c r="E1861" s="178">
        <v>5183</v>
      </c>
      <c r="F1861">
        <v>5183</v>
      </c>
      <c r="G1861" t="s">
        <v>497</v>
      </c>
    </row>
    <row r="1862" spans="1:9">
      <c r="A1862" s="178">
        <v>30</v>
      </c>
      <c r="B1862" s="178" t="s">
        <v>614</v>
      </c>
      <c r="C1862" s="178">
        <v>0</v>
      </c>
      <c r="D1862" s="178">
        <v>0</v>
      </c>
      <c r="E1862" s="178">
        <v>0</v>
      </c>
      <c r="F1862">
        <v>0</v>
      </c>
      <c r="G1862" t="s">
        <v>497</v>
      </c>
    </row>
    <row r="1863" spans="1:9">
      <c r="A1863" s="178">
        <v>35</v>
      </c>
      <c r="B1863" s="178" t="s">
        <v>615</v>
      </c>
      <c r="C1863" s="178">
        <v>5183</v>
      </c>
      <c r="D1863" s="178">
        <v>0</v>
      </c>
      <c r="E1863" s="178">
        <v>5183</v>
      </c>
      <c r="F1863">
        <v>5183</v>
      </c>
      <c r="G1863" t="s">
        <v>497</v>
      </c>
    </row>
    <row r="1864" spans="1:9">
      <c r="A1864" s="178">
        <v>40</v>
      </c>
      <c r="B1864" s="178" t="s">
        <v>616</v>
      </c>
      <c r="C1864" s="178">
        <v>0</v>
      </c>
      <c r="D1864" s="178">
        <v>0</v>
      </c>
      <c r="E1864" s="178">
        <v>0</v>
      </c>
      <c r="F1864">
        <v>0</v>
      </c>
      <c r="G1864" t="s">
        <v>497</v>
      </c>
    </row>
    <row r="1865" spans="1:9">
      <c r="A1865" s="178">
        <v>50</v>
      </c>
      <c r="B1865" s="178" t="s">
        <v>617</v>
      </c>
      <c r="C1865" s="178">
        <v>0</v>
      </c>
      <c r="D1865" s="178">
        <v>0</v>
      </c>
      <c r="E1865" s="178">
        <v>0</v>
      </c>
      <c r="F1865">
        <v>0</v>
      </c>
      <c r="G1865" t="s">
        <v>497</v>
      </c>
    </row>
    <row r="1866" spans="1:9">
      <c r="A1866" s="178">
        <v>60</v>
      </c>
      <c r="B1866" s="178" t="s">
        <v>618</v>
      </c>
      <c r="C1866" s="178">
        <v>5183</v>
      </c>
      <c r="D1866" s="178">
        <v>0</v>
      </c>
      <c r="E1866" s="178">
        <v>5183</v>
      </c>
      <c r="F1866">
        <v>5183</v>
      </c>
      <c r="G1866" t="s">
        <v>497</v>
      </c>
    </row>
    <row r="1867" spans="1:9">
      <c r="A1867" s="178">
        <v>70</v>
      </c>
      <c r="B1867" s="178" t="s">
        <v>412</v>
      </c>
      <c r="C1867" s="178">
        <v>0</v>
      </c>
      <c r="D1867" s="178">
        <v>0</v>
      </c>
      <c r="E1867" s="178">
        <v>0</v>
      </c>
      <c r="F1867">
        <v>0</v>
      </c>
      <c r="G1867" t="s">
        <v>497</v>
      </c>
    </row>
    <row r="1868" spans="1:9">
      <c r="A1868" s="178">
        <v>80</v>
      </c>
      <c r="B1868" s="178" t="s">
        <v>413</v>
      </c>
      <c r="C1868" s="178">
        <v>23.39</v>
      </c>
      <c r="D1868" s="178">
        <v>0</v>
      </c>
      <c r="E1868" s="178">
        <v>23.39</v>
      </c>
      <c r="F1868">
        <v>23.39</v>
      </c>
      <c r="G1868" t="s">
        <v>497</v>
      </c>
    </row>
    <row r="1869" spans="1:9">
      <c r="A1869" s="178">
        <v>90</v>
      </c>
      <c r="B1869" s="178" t="s">
        <v>619</v>
      </c>
      <c r="C1869" s="178">
        <v>0</v>
      </c>
      <c r="D1869" s="178">
        <v>0</v>
      </c>
      <c r="E1869" s="178">
        <v>0</v>
      </c>
      <c r="F1869">
        <v>0</v>
      </c>
      <c r="G1869" t="s">
        <v>497</v>
      </c>
    </row>
    <row r="1870" spans="1:9">
      <c r="A1870" s="178">
        <v>100</v>
      </c>
      <c r="B1870" s="178" t="s">
        <v>620</v>
      </c>
      <c r="C1870" s="178">
        <v>5159.61</v>
      </c>
      <c r="D1870" s="178">
        <v>0</v>
      </c>
      <c r="E1870" s="178">
        <v>5159.61</v>
      </c>
      <c r="F1870">
        <v>5159.61</v>
      </c>
      <c r="G1870" t="s">
        <v>497</v>
      </c>
    </row>
    <row r="1871" spans="1:9">
      <c r="A1871" s="178">
        <v>110</v>
      </c>
      <c r="B1871" s="178" t="s">
        <v>621</v>
      </c>
      <c r="C1871" s="178">
        <v>0</v>
      </c>
      <c r="D1871" s="178">
        <v>0</v>
      </c>
      <c r="E1871" s="178">
        <v>0</v>
      </c>
      <c r="F1871">
        <v>0</v>
      </c>
      <c r="G1871" t="s">
        <v>497</v>
      </c>
    </row>
    <row r="1872" spans="1:9">
      <c r="A1872" s="178">
        <v>120</v>
      </c>
      <c r="B1872" s="178" t="s">
        <v>622</v>
      </c>
      <c r="C1872" s="178">
        <v>0</v>
      </c>
      <c r="D1872" s="178">
        <v>0</v>
      </c>
      <c r="E1872" s="178">
        <v>0</v>
      </c>
      <c r="F1872">
        <v>0</v>
      </c>
      <c r="G1872" t="s">
        <v>497</v>
      </c>
    </row>
    <row r="1873" spans="1:9">
      <c r="A1873" s="178">
        <v>130</v>
      </c>
      <c r="B1873" s="178" t="s">
        <v>623</v>
      </c>
      <c r="C1873" s="178">
        <v>2915.21</v>
      </c>
      <c r="D1873" s="178">
        <v>0</v>
      </c>
      <c r="E1873" s="178">
        <v>2915.21</v>
      </c>
      <c r="F1873">
        <v>2915.21</v>
      </c>
      <c r="G1873" t="s">
        <v>497</v>
      </c>
    </row>
    <row r="1874" spans="1:9">
      <c r="A1874" s="178">
        <v>140</v>
      </c>
      <c r="B1874" s="178" t="s">
        <v>624</v>
      </c>
      <c r="C1874" s="178">
        <v>0</v>
      </c>
      <c r="D1874" s="178">
        <v>0</v>
      </c>
      <c r="E1874" s="178">
        <v>0</v>
      </c>
      <c r="F1874">
        <v>0</v>
      </c>
      <c r="G1874" t="s">
        <v>497</v>
      </c>
    </row>
    <row r="1875" spans="1:9">
      <c r="A1875" s="178">
        <v>145</v>
      </c>
      <c r="B1875" s="178" t="s">
        <v>422</v>
      </c>
      <c r="C1875" s="178">
        <v>2915.21</v>
      </c>
      <c r="D1875" s="178">
        <v>0</v>
      </c>
      <c r="E1875" s="178">
        <v>2915.21</v>
      </c>
      <c r="F1875">
        <v>2915.21</v>
      </c>
      <c r="G1875" t="s">
        <v>497</v>
      </c>
    </row>
    <row r="1876" spans="1:9">
      <c r="A1876" s="178">
        <v>150</v>
      </c>
      <c r="B1876" s="178" t="s">
        <v>625</v>
      </c>
      <c r="C1876" s="178">
        <v>2244.4</v>
      </c>
      <c r="D1876" s="178">
        <v>0</v>
      </c>
      <c r="E1876" s="178">
        <v>2244.4</v>
      </c>
      <c r="F1876">
        <v>2244.4</v>
      </c>
      <c r="G1876" t="s">
        <v>497</v>
      </c>
    </row>
    <row r="1877" spans="1:9">
      <c r="A1877" s="178">
        <v>160</v>
      </c>
      <c r="B1877" s="178" t="s">
        <v>626</v>
      </c>
      <c r="C1877" s="178">
        <v>0</v>
      </c>
      <c r="D1877" s="178">
        <v>0</v>
      </c>
      <c r="E1877" s="178">
        <v>0</v>
      </c>
      <c r="F1877">
        <v>0</v>
      </c>
      <c r="G1877" t="s">
        <v>497</v>
      </c>
    </row>
    <row r="1878" spans="1:9">
      <c r="A1878" s="178">
        <v>170</v>
      </c>
      <c r="B1878" s="178" t="s">
        <v>426</v>
      </c>
      <c r="C1878" s="178">
        <v>2244.4</v>
      </c>
      <c r="D1878" s="178">
        <v>0</v>
      </c>
      <c r="E1878" s="178">
        <v>2244.4</v>
      </c>
      <c r="F1878">
        <v>2244.4</v>
      </c>
      <c r="G1878" t="s">
        <v>497</v>
      </c>
    </row>
    <row r="1879" spans="1:9">
      <c r="A1879" s="178">
        <v>190</v>
      </c>
      <c r="B1879" s="178" t="s">
        <v>627</v>
      </c>
      <c r="C1879" s="178">
        <v>0</v>
      </c>
      <c r="D1879" s="178">
        <v>0</v>
      </c>
      <c r="E1879" s="178">
        <v>0</v>
      </c>
      <c r="F1879">
        <v>0</v>
      </c>
      <c r="G1879" t="s">
        <v>497</v>
      </c>
    </row>
    <row r="1880" spans="1:9">
      <c r="A1880" s="178">
        <v>200</v>
      </c>
      <c r="B1880" s="178" t="s">
        <v>426</v>
      </c>
      <c r="C1880" s="178">
        <v>2244.4</v>
      </c>
      <c r="D1880" s="178">
        <v>0</v>
      </c>
      <c r="E1880" s="178">
        <v>2244.4</v>
      </c>
      <c r="F1880">
        <v>2244.4</v>
      </c>
      <c r="G1880" t="s">
        <v>497</v>
      </c>
    </row>
    <row r="1881" spans="1:9">
      <c r="A1881" s="178">
        <v>210</v>
      </c>
      <c r="B1881" s="178" t="s">
        <v>264</v>
      </c>
      <c r="C1881" s="178">
        <v>2244.4</v>
      </c>
      <c r="D1881" s="178">
        <v>0</v>
      </c>
      <c r="E1881" s="178">
        <v>2244.4</v>
      </c>
      <c r="F1881">
        <v>2244.4</v>
      </c>
      <c r="G1881" t="s">
        <v>497</v>
      </c>
    </row>
    <row r="1882" spans="1:9">
      <c r="A1882" s="178">
        <v>220</v>
      </c>
      <c r="B1882" s="178" t="s">
        <v>628</v>
      </c>
      <c r="C1882" s="178">
        <v>0</v>
      </c>
      <c r="D1882" s="178">
        <v>0</v>
      </c>
      <c r="E1882" s="178">
        <v>0</v>
      </c>
      <c r="F1882">
        <v>0</v>
      </c>
      <c r="G1882" t="s">
        <v>497</v>
      </c>
    </row>
    <row r="1883" spans="1:9">
      <c r="A1883" s="178">
        <v>230</v>
      </c>
      <c r="B1883" s="178" t="s">
        <v>266</v>
      </c>
      <c r="C1883" s="178">
        <v>0</v>
      </c>
      <c r="D1883" s="178">
        <v>0</v>
      </c>
      <c r="E1883" s="178">
        <v>0</v>
      </c>
      <c r="F1883">
        <v>0</v>
      </c>
      <c r="G1883" t="s">
        <v>497</v>
      </c>
    </row>
    <row r="1884" spans="1:9">
      <c r="A1884" s="178">
        <v>235</v>
      </c>
      <c r="B1884" s="178" t="s">
        <v>629</v>
      </c>
      <c r="C1884" s="178">
        <v>0</v>
      </c>
      <c r="D1884" s="178">
        <v>0</v>
      </c>
      <c r="E1884" s="178">
        <v>0</v>
      </c>
      <c r="F1884">
        <v>0</v>
      </c>
      <c r="G1884" t="s">
        <v>497</v>
      </c>
    </row>
    <row r="1885" spans="1:9">
      <c r="A1885" s="178">
        <v>240</v>
      </c>
      <c r="B1885" s="178" t="s">
        <v>267</v>
      </c>
      <c r="C1885" s="178">
        <v>5000</v>
      </c>
      <c r="D1885" s="178">
        <v>-897191.76</v>
      </c>
      <c r="E1885" s="178">
        <v>-892191.76</v>
      </c>
      <c r="F1885">
        <v>5000</v>
      </c>
      <c r="G1885" t="s">
        <v>497</v>
      </c>
    </row>
    <row r="1886" spans="1:9">
      <c r="A1886" s="178">
        <v>250</v>
      </c>
      <c r="B1886" s="178" t="s">
        <v>268</v>
      </c>
      <c r="C1886" s="178">
        <v>0</v>
      </c>
      <c r="D1886" s="178">
        <v>0</v>
      </c>
      <c r="E1886" s="178">
        <v>0</v>
      </c>
      <c r="F1886">
        <v>0</v>
      </c>
      <c r="G1886" t="s">
        <v>497</v>
      </c>
    </row>
    <row r="1887" spans="1:9">
      <c r="A1887" s="178">
        <v>260</v>
      </c>
      <c r="B1887" s="178"/>
      <c r="C1887" s="178">
        <v>0</v>
      </c>
      <c r="D1887" s="178">
        <v>0</v>
      </c>
      <c r="E1887" s="178">
        <v>0</v>
      </c>
      <c r="F1887">
        <v>0</v>
      </c>
      <c r="G1887" t="s">
        <v>497</v>
      </c>
    </row>
    <row r="1888" spans="1:9">
      <c r="A1888" s="178">
        <v>270</v>
      </c>
      <c r="B1888" s="178" t="s">
        <v>269</v>
      </c>
      <c r="C1888" s="178">
        <v>0</v>
      </c>
      <c r="D1888" s="178">
        <v>-462</v>
      </c>
      <c r="E1888" s="178">
        <v>-462</v>
      </c>
      <c r="F1888">
        <v>0</v>
      </c>
      <c r="G1888" t="s">
        <v>497</v>
      </c>
    </row>
    <row r="1889" spans="1:9">
      <c r="A1889" s="178">
        <v>300</v>
      </c>
      <c r="B1889" s="178" t="s">
        <v>270</v>
      </c>
      <c r="C1889" s="178">
        <v>0</v>
      </c>
      <c r="D1889" s="178">
        <v>0</v>
      </c>
      <c r="E1889" s="178">
        <v>0</v>
      </c>
      <c r="F1889">
        <v>0</v>
      </c>
      <c r="G1889" t="s">
        <v>497</v>
      </c>
    </row>
    <row r="1890" spans="1:9">
      <c r="A1890" s="178">
        <v>310</v>
      </c>
      <c r="B1890" s="178" t="s">
        <v>631</v>
      </c>
      <c r="C1890" s="178">
        <v>0</v>
      </c>
      <c r="D1890" s="178">
        <v>0</v>
      </c>
      <c r="E1890" s="178">
        <v>0</v>
      </c>
      <c r="F1890">
        <v>0</v>
      </c>
      <c r="G1890" t="s">
        <v>497</v>
      </c>
    </row>
    <row r="1891" spans="1:9">
      <c r="A1891" s="178">
        <v>320</v>
      </c>
      <c r="B1891" s="178" t="s">
        <v>271</v>
      </c>
      <c r="C1891" s="178">
        <v>0</v>
      </c>
      <c r="D1891" s="178">
        <v>0</v>
      </c>
      <c r="E1891" s="178">
        <v>0</v>
      </c>
      <c r="F1891">
        <v>0</v>
      </c>
      <c r="G1891" t="s">
        <v>497</v>
      </c>
    </row>
    <row r="1892" spans="1:9">
      <c r="A1892" s="178">
        <v>325</v>
      </c>
      <c r="B1892" s="178" t="s">
        <v>272</v>
      </c>
      <c r="C1892" s="178">
        <v>0</v>
      </c>
      <c r="D1892" s="178">
        <v>0</v>
      </c>
      <c r="E1892" s="178">
        <v>0</v>
      </c>
      <c r="F1892">
        <v>0</v>
      </c>
      <c r="G1892" t="s">
        <v>497</v>
      </c>
    </row>
    <row r="1893" spans="1:9">
      <c r="A1893" s="178">
        <v>330</v>
      </c>
      <c r="B1893" s="178" t="s">
        <v>691</v>
      </c>
      <c r="C1893" s="178">
        <v>0</v>
      </c>
      <c r="D1893" s="178">
        <v>0</v>
      </c>
      <c r="E1893" s="178">
        <v>0</v>
      </c>
      <c r="F1893">
        <v>0</v>
      </c>
      <c r="G1893" t="s">
        <v>497</v>
      </c>
    </row>
    <row r="1894" spans="1:9">
      <c r="A1894" s="178">
        <v>340</v>
      </c>
      <c r="B1894" s="178" t="s">
        <v>633</v>
      </c>
      <c r="C1894" s="178">
        <v>0</v>
      </c>
      <c r="D1894" s="178">
        <v>0</v>
      </c>
      <c r="E1894" s="178">
        <v>0</v>
      </c>
      <c r="F1894">
        <v>0</v>
      </c>
      <c r="G1894" t="s">
        <v>497</v>
      </c>
    </row>
    <row r="1895" spans="1:9">
      <c r="A1895" s="178">
        <v>380</v>
      </c>
      <c r="B1895" s="178" t="s">
        <v>634</v>
      </c>
      <c r="C1895" s="178">
        <v>5000</v>
      </c>
      <c r="D1895" s="178">
        <v>-897653.76</v>
      </c>
      <c r="E1895" s="178">
        <v>-892653.76</v>
      </c>
      <c r="F1895">
        <v>5000</v>
      </c>
      <c r="G1895" t="s">
        <v>497</v>
      </c>
    </row>
    <row r="1896" spans="1:9">
      <c r="A1896" s="178">
        <v>390</v>
      </c>
      <c r="B1896" s="178" t="s">
        <v>273</v>
      </c>
      <c r="C1896" s="178">
        <v>0</v>
      </c>
      <c r="D1896" s="178">
        <v>0</v>
      </c>
      <c r="E1896" s="178">
        <v>0</v>
      </c>
      <c r="F1896">
        <v>0</v>
      </c>
      <c r="G1896" t="s">
        <v>497</v>
      </c>
    </row>
    <row r="1897" spans="1:9">
      <c r="A1897" s="178">
        <v>400</v>
      </c>
      <c r="B1897" s="178" t="s">
        <v>274</v>
      </c>
      <c r="C1897" s="178">
        <v>-4684.79</v>
      </c>
      <c r="D1897" s="178">
        <v>795181.73</v>
      </c>
      <c r="E1897" s="178">
        <v>790496.94</v>
      </c>
      <c r="F1897">
        <v>-4684.79</v>
      </c>
      <c r="G1897" t="s">
        <v>497</v>
      </c>
    </row>
    <row r="1898" spans="1:9">
      <c r="A1898" s="178">
        <v>405</v>
      </c>
      <c r="B1898" s="178" t="s">
        <v>275</v>
      </c>
      <c r="C1898" s="178">
        <v>0</v>
      </c>
      <c r="D1898" s="178">
        <v>0</v>
      </c>
      <c r="E1898" s="178">
        <v>0</v>
      </c>
      <c r="F1898">
        <v>0</v>
      </c>
      <c r="G1898" t="s">
        <v>497</v>
      </c>
    </row>
    <row r="1899" spans="1:9">
      <c r="A1899" s="178">
        <v>410</v>
      </c>
      <c r="B1899" s="178" t="s">
        <v>276</v>
      </c>
      <c r="C1899" s="178">
        <v>0</v>
      </c>
      <c r="D1899" s="178">
        <v>0</v>
      </c>
      <c r="E1899" s="178">
        <v>0</v>
      </c>
      <c r="F1899">
        <v>0</v>
      </c>
      <c r="G1899" t="s">
        <v>497</v>
      </c>
    </row>
    <row r="1900" spans="1:9">
      <c r="A1900" s="178">
        <v>420</v>
      </c>
      <c r="B1900" s="178" t="s">
        <v>277</v>
      </c>
      <c r="C1900" s="178">
        <v>0</v>
      </c>
      <c r="D1900" s="178">
        <v>486594.15</v>
      </c>
      <c r="E1900" s="178">
        <v>486594.15</v>
      </c>
      <c r="F1900">
        <v>0</v>
      </c>
      <c r="G1900" t="s">
        <v>497</v>
      </c>
    </row>
    <row r="1901" spans="1:9">
      <c r="A1901" s="178">
        <v>425</v>
      </c>
      <c r="B1901" s="178" t="s">
        <v>635</v>
      </c>
      <c r="C1901" s="178">
        <v>0</v>
      </c>
      <c r="D1901" s="178">
        <v>0</v>
      </c>
      <c r="E1901" s="178">
        <v>0</v>
      </c>
      <c r="F1901">
        <v>0</v>
      </c>
      <c r="G1901" t="s">
        <v>497</v>
      </c>
    </row>
    <row r="1902" spans="1:9">
      <c r="A1902" s="178">
        <v>427</v>
      </c>
      <c r="B1902" s="178" t="s">
        <v>636</v>
      </c>
      <c r="C1902" s="178">
        <v>0</v>
      </c>
      <c r="D1902" s="178">
        <v>0</v>
      </c>
      <c r="E1902" s="178">
        <v>0</v>
      </c>
      <c r="F1902">
        <v>0</v>
      </c>
      <c r="G1902" t="s">
        <v>497</v>
      </c>
    </row>
    <row r="1903" spans="1:9">
      <c r="A1903" s="178">
        <v>430</v>
      </c>
      <c r="B1903" s="178" t="s">
        <v>279</v>
      </c>
      <c r="C1903" s="178">
        <v>0</v>
      </c>
      <c r="D1903" s="178">
        <v>34349.74</v>
      </c>
      <c r="E1903" s="178">
        <v>34349.74</v>
      </c>
      <c r="F1903">
        <v>0</v>
      </c>
      <c r="G1903" t="s">
        <v>497</v>
      </c>
    </row>
    <row r="1904" spans="1:9">
      <c r="A1904" s="178">
        <v>440</v>
      </c>
      <c r="B1904" s="178" t="s">
        <v>280</v>
      </c>
      <c r="C1904" s="178">
        <v>-4684.79</v>
      </c>
      <c r="D1904" s="178">
        <v>1316125.62</v>
      </c>
      <c r="E1904" s="178">
        <v>1311440.83</v>
      </c>
      <c r="F1904">
        <v>-4684.79</v>
      </c>
      <c r="G1904" t="s">
        <v>497</v>
      </c>
    </row>
    <row r="1905" spans="1:9">
      <c r="A1905" s="178">
        <v>450</v>
      </c>
      <c r="B1905" s="178" t="s">
        <v>281</v>
      </c>
      <c r="C1905" s="178">
        <v>0</v>
      </c>
      <c r="D1905" s="178">
        <v>0</v>
      </c>
      <c r="E1905" s="178">
        <v>0</v>
      </c>
      <c r="F1905">
        <v>0</v>
      </c>
      <c r="G1905" t="s">
        <v>497</v>
      </c>
    </row>
    <row r="1906" spans="1:9">
      <c r="A1906" s="178">
        <v>455</v>
      </c>
      <c r="B1906" s="178" t="s">
        <v>282</v>
      </c>
      <c r="C1906" s="178">
        <v>0</v>
      </c>
      <c r="D1906" s="178">
        <v>-420443.5</v>
      </c>
      <c r="E1906" s="178">
        <v>-420443.5</v>
      </c>
      <c r="F1906">
        <v>0</v>
      </c>
      <c r="G1906" t="s">
        <v>497</v>
      </c>
    </row>
    <row r="1907" spans="1:9">
      <c r="A1907" s="178">
        <v>456</v>
      </c>
      <c r="B1907" s="178" t="s">
        <v>637</v>
      </c>
      <c r="C1907" s="178">
        <v>0</v>
      </c>
      <c r="D1907" s="178">
        <v>0</v>
      </c>
      <c r="E1907" s="178">
        <v>0</v>
      </c>
      <c r="F1907">
        <v>0</v>
      </c>
      <c r="G1907" t="s">
        <v>497</v>
      </c>
    </row>
    <row r="1908" spans="1:9">
      <c r="A1908" s="178">
        <v>460</v>
      </c>
      <c r="B1908" s="178" t="s">
        <v>283</v>
      </c>
      <c r="C1908" s="178">
        <v>0</v>
      </c>
      <c r="D1908" s="178">
        <v>0</v>
      </c>
      <c r="E1908" s="178">
        <v>0</v>
      </c>
      <c r="F1908">
        <v>0</v>
      </c>
      <c r="G1908" t="s">
        <v>497</v>
      </c>
    </row>
    <row r="1909" spans="1:9">
      <c r="A1909" s="178">
        <v>470</v>
      </c>
      <c r="B1909" s="178" t="s">
        <v>638</v>
      </c>
      <c r="C1909" s="178">
        <v>0</v>
      </c>
      <c r="D1909" s="178">
        <v>0</v>
      </c>
      <c r="E1909" s="178">
        <v>0</v>
      </c>
      <c r="F1909">
        <v>0</v>
      </c>
      <c r="G1909" t="s">
        <v>497</v>
      </c>
    </row>
    <row r="1910" spans="1:9">
      <c r="A1910" s="178">
        <v>480</v>
      </c>
      <c r="B1910" s="178" t="s">
        <v>284</v>
      </c>
      <c r="C1910" s="178">
        <v>0</v>
      </c>
      <c r="D1910" s="178">
        <v>0</v>
      </c>
      <c r="E1910" s="178">
        <v>0</v>
      </c>
      <c r="F1910">
        <v>0</v>
      </c>
      <c r="G1910" t="s">
        <v>497</v>
      </c>
    </row>
    <row r="1911" spans="1:9">
      <c r="A1911" s="178">
        <v>490</v>
      </c>
      <c r="B1911" s="178" t="s">
        <v>639</v>
      </c>
      <c r="C1911" s="178">
        <v>0</v>
      </c>
      <c r="D1911" s="178">
        <v>0</v>
      </c>
      <c r="E1911" s="178">
        <v>0</v>
      </c>
      <c r="F1911">
        <v>0</v>
      </c>
      <c r="G1911" t="s">
        <v>497</v>
      </c>
    </row>
    <row r="1912" spans="1:9">
      <c r="A1912" s="178">
        <v>500</v>
      </c>
      <c r="B1912" s="178" t="s">
        <v>285</v>
      </c>
      <c r="C1912" s="178">
        <v>0</v>
      </c>
      <c r="D1912" s="178">
        <v>0</v>
      </c>
      <c r="E1912" s="178">
        <v>0</v>
      </c>
      <c r="F1912">
        <v>0</v>
      </c>
      <c r="G1912" t="s">
        <v>497</v>
      </c>
    </row>
    <row r="1913" spans="1:9">
      <c r="A1913" s="178">
        <v>510</v>
      </c>
      <c r="B1913" s="178" t="s">
        <v>640</v>
      </c>
      <c r="C1913" s="178">
        <v>0</v>
      </c>
      <c r="D1913" s="178">
        <v>0</v>
      </c>
      <c r="E1913" s="178">
        <v>0</v>
      </c>
      <c r="F1913">
        <v>0</v>
      </c>
      <c r="G1913" t="s">
        <v>497</v>
      </c>
    </row>
    <row r="1914" spans="1:9">
      <c r="A1914" s="178">
        <v>512</v>
      </c>
      <c r="B1914" s="178" t="s">
        <v>286</v>
      </c>
      <c r="C1914" s="178">
        <v>0</v>
      </c>
      <c r="D1914" s="178">
        <v>0</v>
      </c>
      <c r="E1914" s="178">
        <v>0</v>
      </c>
      <c r="F1914">
        <v>0</v>
      </c>
      <c r="G1914" t="s">
        <v>497</v>
      </c>
    </row>
    <row r="1915" spans="1:9">
      <c r="A1915" s="178">
        <v>514</v>
      </c>
      <c r="B1915" s="178" t="s">
        <v>641</v>
      </c>
      <c r="C1915" s="178">
        <v>0</v>
      </c>
      <c r="D1915" s="178">
        <v>0</v>
      </c>
      <c r="E1915" s="178">
        <v>0</v>
      </c>
      <c r="F1915">
        <v>0</v>
      </c>
      <c r="G1915" t="s">
        <v>497</v>
      </c>
    </row>
    <row r="1916" spans="1:9">
      <c r="A1916" s="178">
        <v>520</v>
      </c>
      <c r="B1916" s="178" t="s">
        <v>642</v>
      </c>
      <c r="C1916" s="178">
        <v>0</v>
      </c>
      <c r="D1916" s="178">
        <v>0</v>
      </c>
      <c r="E1916" s="178">
        <v>0</v>
      </c>
      <c r="F1916">
        <v>0</v>
      </c>
      <c r="G1916" t="s">
        <v>497</v>
      </c>
    </row>
    <row r="1917" spans="1:9">
      <c r="A1917" s="178">
        <v>530</v>
      </c>
      <c r="B1917" s="178" t="s">
        <v>643</v>
      </c>
      <c r="C1917" s="178">
        <v>0</v>
      </c>
      <c r="D1917" s="178">
        <v>0</v>
      </c>
      <c r="E1917" s="178">
        <v>0</v>
      </c>
      <c r="F1917">
        <v>0</v>
      </c>
      <c r="G1917" t="s">
        <v>497</v>
      </c>
    </row>
    <row r="1918" spans="1:9">
      <c r="A1918" s="178">
        <v>540</v>
      </c>
      <c r="B1918" s="178" t="s">
        <v>644</v>
      </c>
      <c r="C1918" s="178">
        <v>0</v>
      </c>
      <c r="D1918" s="178">
        <v>0</v>
      </c>
      <c r="E1918" s="178">
        <v>0</v>
      </c>
      <c r="F1918">
        <v>0</v>
      </c>
      <c r="G1918" t="s">
        <v>497</v>
      </c>
    </row>
    <row r="1919" spans="1:9">
      <c r="A1919" s="178">
        <v>550</v>
      </c>
      <c r="B1919" s="178" t="s">
        <v>645</v>
      </c>
      <c r="C1919" s="178">
        <v>0</v>
      </c>
      <c r="D1919" s="178">
        <v>0</v>
      </c>
      <c r="E1919" s="178">
        <v>0</v>
      </c>
      <c r="F1919">
        <v>0</v>
      </c>
      <c r="G1919" t="s">
        <v>497</v>
      </c>
    </row>
    <row r="1920" spans="1:9">
      <c r="A1920" s="178">
        <v>560</v>
      </c>
      <c r="B1920" s="178" t="s">
        <v>646</v>
      </c>
      <c r="C1920" s="178">
        <v>0</v>
      </c>
      <c r="D1920" s="178">
        <v>0</v>
      </c>
      <c r="E1920" s="178">
        <v>0</v>
      </c>
      <c r="F1920">
        <v>0</v>
      </c>
      <c r="G1920" t="s">
        <v>497</v>
      </c>
    </row>
    <row r="1921" spans="1:9">
      <c r="A1921" s="178">
        <v>570</v>
      </c>
      <c r="B1921" s="178" t="s">
        <v>647</v>
      </c>
      <c r="C1921" s="178">
        <v>0</v>
      </c>
      <c r="D1921" s="178">
        <v>0</v>
      </c>
      <c r="E1921" s="178">
        <v>0</v>
      </c>
      <c r="F1921">
        <v>0</v>
      </c>
      <c r="G1921" t="s">
        <v>497</v>
      </c>
    </row>
    <row r="1922" spans="1:9">
      <c r="A1922" s="178">
        <v>580</v>
      </c>
      <c r="B1922" s="178" t="s">
        <v>290</v>
      </c>
      <c r="C1922" s="178">
        <v>0</v>
      </c>
      <c r="D1922" s="178">
        <v>0</v>
      </c>
      <c r="E1922" s="178">
        <v>0</v>
      </c>
      <c r="F1922">
        <v>0</v>
      </c>
      <c r="G1922" t="s">
        <v>497</v>
      </c>
    </row>
    <row r="1923" spans="1:9">
      <c r="A1923" s="178">
        <v>590</v>
      </c>
      <c r="B1923" s="178" t="s">
        <v>648</v>
      </c>
      <c r="C1923" s="178">
        <v>0</v>
      </c>
      <c r="D1923" s="178">
        <v>0</v>
      </c>
      <c r="E1923" s="178">
        <v>0</v>
      </c>
      <c r="F1923">
        <v>0</v>
      </c>
      <c r="G1923" t="s">
        <v>497</v>
      </c>
    </row>
    <row r="1924" spans="1:9">
      <c r="A1924" s="178">
        <v>600</v>
      </c>
      <c r="B1924" s="178" t="s">
        <v>291</v>
      </c>
      <c r="C1924" s="178">
        <v>0</v>
      </c>
      <c r="D1924" s="178">
        <v>0</v>
      </c>
      <c r="E1924" s="178">
        <v>0</v>
      </c>
      <c r="F1924">
        <v>0</v>
      </c>
      <c r="G1924" t="s">
        <v>497</v>
      </c>
    </row>
    <row r="1925" spans="1:9">
      <c r="A1925" s="178">
        <v>610</v>
      </c>
      <c r="B1925" s="178" t="s">
        <v>649</v>
      </c>
      <c r="C1925" s="178">
        <v>0</v>
      </c>
      <c r="D1925" s="178">
        <v>0</v>
      </c>
      <c r="E1925" s="178">
        <v>0</v>
      </c>
      <c r="F1925">
        <v>0</v>
      </c>
      <c r="G1925" t="s">
        <v>497</v>
      </c>
    </row>
    <row r="1926" spans="1:9">
      <c r="A1926" s="178">
        <v>615</v>
      </c>
      <c r="B1926" s="178" t="s">
        <v>674</v>
      </c>
      <c r="C1926" s="178">
        <v>0</v>
      </c>
      <c r="D1926" s="178">
        <v>0</v>
      </c>
      <c r="E1926" s="178">
        <v>0</v>
      </c>
      <c r="F1926">
        <v>0</v>
      </c>
      <c r="G1926" t="s">
        <v>497</v>
      </c>
    </row>
    <row r="1927" spans="1:9">
      <c r="A1927" s="178">
        <v>620</v>
      </c>
      <c r="B1927" s="178" t="s">
        <v>292</v>
      </c>
      <c r="C1927" s="178">
        <v>0</v>
      </c>
      <c r="D1927" s="178">
        <v>0</v>
      </c>
      <c r="E1927" s="178">
        <v>0</v>
      </c>
      <c r="F1927">
        <v>0</v>
      </c>
      <c r="G1927" t="s">
        <v>497</v>
      </c>
    </row>
    <row r="1928" spans="1:9">
      <c r="A1928" s="178">
        <v>630</v>
      </c>
      <c r="B1928" s="178" t="s">
        <v>293</v>
      </c>
      <c r="C1928" s="178">
        <v>0</v>
      </c>
      <c r="D1928" s="178">
        <v>0</v>
      </c>
      <c r="E1928" s="178">
        <v>0</v>
      </c>
      <c r="F1928">
        <v>0</v>
      </c>
      <c r="G1928" t="s">
        <v>497</v>
      </c>
    </row>
    <row r="1929" spans="1:9">
      <c r="A1929" s="178">
        <v>635</v>
      </c>
      <c r="B1929" s="178" t="s">
        <v>675</v>
      </c>
      <c r="C1929" s="178">
        <v>0</v>
      </c>
      <c r="D1929" s="178">
        <v>0</v>
      </c>
      <c r="E1929" s="178">
        <v>0</v>
      </c>
      <c r="F1929">
        <v>0</v>
      </c>
      <c r="G1929" t="s">
        <v>497</v>
      </c>
    </row>
    <row r="1930" spans="1:9">
      <c r="A1930" s="178">
        <v>640</v>
      </c>
      <c r="B1930" s="178" t="s">
        <v>294</v>
      </c>
      <c r="C1930" s="178">
        <v>0</v>
      </c>
      <c r="D1930" s="178">
        <v>-420443.5</v>
      </c>
      <c r="E1930" s="178">
        <v>-420443.5</v>
      </c>
      <c r="F1930">
        <v>0</v>
      </c>
      <c r="G1930" t="s">
        <v>497</v>
      </c>
    </row>
    <row r="1931" spans="1:9">
      <c r="A1931" s="178">
        <v>650</v>
      </c>
      <c r="B1931" s="178" t="s">
        <v>295</v>
      </c>
      <c r="C1931" s="178">
        <v>2559.61</v>
      </c>
      <c r="D1931" s="178">
        <v>-1971.64</v>
      </c>
      <c r="E1931" s="178">
        <v>587.97</v>
      </c>
      <c r="F1931">
        <v>2559.61</v>
      </c>
      <c r="G1931" t="s">
        <v>497</v>
      </c>
      <c r="I1931" s="274"/>
    </row>
    <row r="1932" spans="1:9">
      <c r="A1932" s="178" t="s">
        <v>488</v>
      </c>
      <c r="B1932" s="178" t="s">
        <v>402</v>
      </c>
      <c r="C1932" s="178" t="s">
        <v>609</v>
      </c>
      <c r="D1932" s="178" t="s">
        <v>610</v>
      </c>
      <c r="E1932" s="178" t="s">
        <v>611</v>
      </c>
      <c r="F1932" t="s">
        <v>612</v>
      </c>
      <c r="G1932" t="s">
        <v>405</v>
      </c>
    </row>
    <row r="1933" spans="1:9">
      <c r="A1933" s="178">
        <v>10</v>
      </c>
      <c r="B1933" s="178" t="s">
        <v>613</v>
      </c>
      <c r="C1933" s="178">
        <v>0</v>
      </c>
      <c r="D1933" s="178">
        <v>0</v>
      </c>
      <c r="E1933" s="178">
        <v>0</v>
      </c>
      <c r="F1933">
        <v>0</v>
      </c>
      <c r="G1933" t="s">
        <v>497</v>
      </c>
    </row>
    <row r="1934" spans="1:9">
      <c r="A1934" s="178">
        <v>20</v>
      </c>
      <c r="B1934" s="178" t="s">
        <v>406</v>
      </c>
      <c r="C1934" s="178">
        <v>0</v>
      </c>
      <c r="D1934" s="178">
        <v>0</v>
      </c>
      <c r="E1934" s="178">
        <v>0</v>
      </c>
      <c r="F1934">
        <v>0</v>
      </c>
      <c r="G1934" t="s">
        <v>497</v>
      </c>
    </row>
    <row r="1935" spans="1:9">
      <c r="A1935" s="178">
        <v>30</v>
      </c>
      <c r="B1935" s="178" t="s">
        <v>614</v>
      </c>
      <c r="C1935" s="178">
        <v>0</v>
      </c>
      <c r="D1935" s="178">
        <v>0</v>
      </c>
      <c r="E1935" s="178">
        <v>0</v>
      </c>
      <c r="F1935">
        <v>0</v>
      </c>
      <c r="G1935" t="s">
        <v>497</v>
      </c>
    </row>
    <row r="1936" spans="1:9">
      <c r="A1936" s="178">
        <v>35</v>
      </c>
      <c r="B1936" s="178" t="s">
        <v>615</v>
      </c>
      <c r="C1936" s="178">
        <v>0</v>
      </c>
      <c r="D1936" s="178">
        <v>0</v>
      </c>
      <c r="E1936" s="178">
        <v>0</v>
      </c>
      <c r="F1936">
        <v>0</v>
      </c>
      <c r="G1936" t="s">
        <v>497</v>
      </c>
    </row>
    <row r="1937" spans="1:9">
      <c r="A1937" s="178">
        <v>40</v>
      </c>
      <c r="B1937" s="178" t="s">
        <v>616</v>
      </c>
      <c r="C1937" s="178">
        <v>0</v>
      </c>
      <c r="D1937" s="178">
        <v>0</v>
      </c>
      <c r="E1937" s="178">
        <v>0</v>
      </c>
      <c r="F1937">
        <v>0</v>
      </c>
      <c r="G1937" t="s">
        <v>497</v>
      </c>
    </row>
    <row r="1938" spans="1:9">
      <c r="A1938" s="178">
        <v>50</v>
      </c>
      <c r="B1938" s="178" t="s">
        <v>617</v>
      </c>
      <c r="C1938" s="178">
        <v>0</v>
      </c>
      <c r="D1938" s="178">
        <v>0</v>
      </c>
      <c r="E1938" s="178">
        <v>0</v>
      </c>
      <c r="F1938">
        <v>0</v>
      </c>
      <c r="G1938" t="s">
        <v>497</v>
      </c>
    </row>
    <row r="1939" spans="1:9">
      <c r="A1939" s="178">
        <v>60</v>
      </c>
      <c r="B1939" s="178" t="s">
        <v>618</v>
      </c>
      <c r="C1939" s="178">
        <v>0</v>
      </c>
      <c r="D1939" s="178">
        <v>0</v>
      </c>
      <c r="E1939" s="178">
        <v>0</v>
      </c>
      <c r="F1939">
        <v>0</v>
      </c>
      <c r="G1939" t="s">
        <v>497</v>
      </c>
    </row>
    <row r="1940" spans="1:9">
      <c r="A1940" s="178">
        <v>70</v>
      </c>
      <c r="B1940" s="178" t="s">
        <v>412</v>
      </c>
      <c r="C1940" s="178">
        <v>0</v>
      </c>
      <c r="D1940" s="178">
        <v>0</v>
      </c>
      <c r="E1940" s="178">
        <v>0</v>
      </c>
      <c r="F1940">
        <v>0</v>
      </c>
      <c r="G1940" t="s">
        <v>497</v>
      </c>
    </row>
    <row r="1941" spans="1:9">
      <c r="A1941" s="178">
        <v>80</v>
      </c>
      <c r="B1941" s="178" t="s">
        <v>413</v>
      </c>
      <c r="C1941" s="178">
        <v>10</v>
      </c>
      <c r="D1941" s="178">
        <v>0</v>
      </c>
      <c r="E1941" s="178">
        <v>10</v>
      </c>
      <c r="F1941">
        <v>10</v>
      </c>
      <c r="G1941" t="s">
        <v>497</v>
      </c>
    </row>
    <row r="1942" spans="1:9">
      <c r="A1942" s="178">
        <v>90</v>
      </c>
      <c r="B1942" s="178" t="s">
        <v>619</v>
      </c>
      <c r="C1942" s="178">
        <v>0</v>
      </c>
      <c r="D1942" s="178">
        <v>0</v>
      </c>
      <c r="E1942" s="178">
        <v>0</v>
      </c>
      <c r="F1942">
        <v>0</v>
      </c>
      <c r="G1942" t="s">
        <v>497</v>
      </c>
    </row>
    <row r="1943" spans="1:9">
      <c r="A1943" s="178">
        <v>100</v>
      </c>
      <c r="B1943" s="178" t="s">
        <v>620</v>
      </c>
      <c r="C1943" s="178">
        <v>-10</v>
      </c>
      <c r="D1943" s="178">
        <v>0</v>
      </c>
      <c r="E1943" s="178">
        <v>-10</v>
      </c>
      <c r="F1943">
        <v>-10</v>
      </c>
      <c r="G1943" t="s">
        <v>497</v>
      </c>
    </row>
    <row r="1944" spans="1:9">
      <c r="A1944" s="178">
        <v>110</v>
      </c>
      <c r="B1944" s="178" t="s">
        <v>621</v>
      </c>
      <c r="C1944" s="178">
        <v>0</v>
      </c>
      <c r="D1944" s="178">
        <v>0</v>
      </c>
      <c r="E1944" s="178">
        <v>0</v>
      </c>
      <c r="F1944">
        <v>0</v>
      </c>
      <c r="G1944" t="s">
        <v>497</v>
      </c>
    </row>
    <row r="1945" spans="1:9">
      <c r="A1945" s="178">
        <v>120</v>
      </c>
      <c r="B1945" s="178" t="s">
        <v>622</v>
      </c>
      <c r="C1945" s="178">
        <v>0</v>
      </c>
      <c r="D1945" s="178">
        <v>0</v>
      </c>
      <c r="E1945" s="178">
        <v>0</v>
      </c>
      <c r="F1945">
        <v>0</v>
      </c>
      <c r="G1945" t="s">
        <v>497</v>
      </c>
    </row>
    <row r="1946" spans="1:9">
      <c r="A1946" s="178">
        <v>130</v>
      </c>
      <c r="B1946" s="178" t="s">
        <v>623</v>
      </c>
      <c r="C1946" s="178">
        <v>0</v>
      </c>
      <c r="D1946" s="178">
        <v>0</v>
      </c>
      <c r="E1946" s="178">
        <v>0</v>
      </c>
      <c r="F1946">
        <v>0</v>
      </c>
      <c r="G1946" t="s">
        <v>497</v>
      </c>
    </row>
    <row r="1947" spans="1:9">
      <c r="A1947" s="178">
        <v>140</v>
      </c>
      <c r="B1947" s="178" t="s">
        <v>624</v>
      </c>
      <c r="C1947" s="178">
        <v>0</v>
      </c>
      <c r="D1947" s="178">
        <v>0</v>
      </c>
      <c r="E1947" s="178">
        <v>0</v>
      </c>
      <c r="F1947">
        <v>0</v>
      </c>
      <c r="G1947" t="s">
        <v>497</v>
      </c>
    </row>
    <row r="1948" spans="1:9">
      <c r="A1948" s="178">
        <v>145</v>
      </c>
      <c r="B1948" s="178" t="s">
        <v>422</v>
      </c>
      <c r="C1948" s="178">
        <v>0</v>
      </c>
      <c r="D1948" s="178">
        <v>0</v>
      </c>
      <c r="E1948" s="178">
        <v>0</v>
      </c>
      <c r="F1948">
        <v>0</v>
      </c>
      <c r="G1948" t="s">
        <v>497</v>
      </c>
    </row>
    <row r="1949" spans="1:9">
      <c r="A1949" s="178">
        <v>150</v>
      </c>
      <c r="B1949" s="178" t="s">
        <v>625</v>
      </c>
      <c r="C1949" s="178">
        <v>-10</v>
      </c>
      <c r="D1949" s="178">
        <v>0</v>
      </c>
      <c r="E1949" s="178">
        <v>-10</v>
      </c>
      <c r="F1949">
        <v>-10</v>
      </c>
      <c r="G1949" t="s">
        <v>497</v>
      </c>
    </row>
    <row r="1950" spans="1:9">
      <c r="A1950" s="178">
        <v>160</v>
      </c>
      <c r="B1950" s="178" t="s">
        <v>626</v>
      </c>
      <c r="C1950" s="178">
        <v>0</v>
      </c>
      <c r="D1950" s="178">
        <v>0</v>
      </c>
      <c r="E1950" s="178">
        <v>0</v>
      </c>
      <c r="F1950">
        <v>0</v>
      </c>
      <c r="G1950" t="s">
        <v>497</v>
      </c>
    </row>
    <row r="1951" spans="1:9">
      <c r="A1951" s="178">
        <v>170</v>
      </c>
      <c r="B1951" s="178" t="s">
        <v>426</v>
      </c>
      <c r="C1951" s="178">
        <v>-10</v>
      </c>
      <c r="D1951" s="178">
        <v>0</v>
      </c>
      <c r="E1951" s="178">
        <v>-10</v>
      </c>
      <c r="F1951">
        <v>-10</v>
      </c>
      <c r="G1951" t="s">
        <v>497</v>
      </c>
    </row>
    <row r="1952" spans="1:9">
      <c r="A1952" s="178">
        <v>190</v>
      </c>
      <c r="B1952" s="178" t="s">
        <v>627</v>
      </c>
      <c r="C1952" s="178">
        <v>0</v>
      </c>
      <c r="D1952" s="178">
        <v>0</v>
      </c>
      <c r="E1952" s="178">
        <v>0</v>
      </c>
      <c r="F1952">
        <v>0</v>
      </c>
      <c r="G1952" t="s">
        <v>497</v>
      </c>
    </row>
    <row r="1953" spans="1:9">
      <c r="A1953" s="178">
        <v>200</v>
      </c>
      <c r="B1953" s="178" t="s">
        <v>426</v>
      </c>
      <c r="C1953" s="178">
        <v>-10</v>
      </c>
      <c r="D1953" s="178">
        <v>0</v>
      </c>
      <c r="E1953" s="178">
        <v>-10</v>
      </c>
      <c r="F1953">
        <v>-10</v>
      </c>
      <c r="G1953" t="s">
        <v>497</v>
      </c>
    </row>
    <row r="1954" spans="1:9">
      <c r="A1954" s="178">
        <v>210</v>
      </c>
      <c r="B1954" s="178" t="s">
        <v>264</v>
      </c>
      <c r="C1954" s="178">
        <v>-10</v>
      </c>
      <c r="D1954" s="178">
        <v>0</v>
      </c>
      <c r="E1954" s="178">
        <v>-10</v>
      </c>
      <c r="F1954">
        <v>-10</v>
      </c>
      <c r="G1954" t="s">
        <v>497</v>
      </c>
    </row>
    <row r="1955" spans="1:9">
      <c r="A1955" s="178">
        <v>220</v>
      </c>
      <c r="B1955" s="178" t="s">
        <v>628</v>
      </c>
      <c r="C1955" s="178">
        <v>0</v>
      </c>
      <c r="D1955" s="178">
        <v>0</v>
      </c>
      <c r="E1955" s="178">
        <v>0</v>
      </c>
      <c r="F1955">
        <v>0</v>
      </c>
      <c r="G1955" t="s">
        <v>497</v>
      </c>
    </row>
    <row r="1956" spans="1:9">
      <c r="A1956" s="178">
        <v>230</v>
      </c>
      <c r="B1956" s="178" t="s">
        <v>266</v>
      </c>
      <c r="C1956" s="178">
        <v>0</v>
      </c>
      <c r="D1956" s="178">
        <v>0</v>
      </c>
      <c r="E1956" s="178">
        <v>0</v>
      </c>
      <c r="F1956">
        <v>0</v>
      </c>
      <c r="G1956" t="s">
        <v>497</v>
      </c>
    </row>
    <row r="1957" spans="1:9">
      <c r="A1957" s="178">
        <v>235</v>
      </c>
      <c r="B1957" s="178" t="s">
        <v>629</v>
      </c>
      <c r="C1957" s="178">
        <v>0</v>
      </c>
      <c r="D1957" s="178">
        <v>0</v>
      </c>
      <c r="E1957" s="178">
        <v>0</v>
      </c>
      <c r="F1957">
        <v>0</v>
      </c>
      <c r="G1957" t="s">
        <v>497</v>
      </c>
    </row>
    <row r="1958" spans="1:9">
      <c r="A1958" s="178">
        <v>240</v>
      </c>
      <c r="B1958" s="178" t="s">
        <v>267</v>
      </c>
      <c r="C1958" s="178">
        <v>0</v>
      </c>
      <c r="D1958" s="178">
        <v>0</v>
      </c>
      <c r="E1958" s="178">
        <v>0</v>
      </c>
      <c r="F1958">
        <v>0</v>
      </c>
      <c r="G1958" t="s">
        <v>497</v>
      </c>
    </row>
    <row r="1959" spans="1:9">
      <c r="A1959" s="178">
        <v>250</v>
      </c>
      <c r="B1959" s="178" t="s">
        <v>268</v>
      </c>
      <c r="C1959" s="178">
        <v>0</v>
      </c>
      <c r="D1959" s="178">
        <v>0</v>
      </c>
      <c r="E1959" s="178">
        <v>0</v>
      </c>
      <c r="F1959">
        <v>0</v>
      </c>
      <c r="G1959" t="s">
        <v>497</v>
      </c>
    </row>
    <row r="1960" spans="1:9">
      <c r="A1960" s="178">
        <v>260</v>
      </c>
      <c r="B1960" s="178" t="s">
        <v>692</v>
      </c>
      <c r="C1960" s="178">
        <v>0</v>
      </c>
      <c r="D1960" s="178">
        <v>0</v>
      </c>
      <c r="E1960" s="178">
        <v>0</v>
      </c>
      <c r="F1960">
        <v>0</v>
      </c>
      <c r="G1960" t="s">
        <v>497</v>
      </c>
    </row>
    <row r="1961" spans="1:9">
      <c r="A1961" s="178">
        <v>270</v>
      </c>
      <c r="B1961" s="178" t="s">
        <v>269</v>
      </c>
      <c r="C1961" s="178">
        <v>0</v>
      </c>
      <c r="D1961" s="178">
        <v>-151384</v>
      </c>
      <c r="E1961" s="178">
        <v>-151384</v>
      </c>
      <c r="F1961">
        <v>0</v>
      </c>
      <c r="G1961" t="s">
        <v>497</v>
      </c>
    </row>
    <row r="1962" spans="1:9">
      <c r="A1962" s="178">
        <v>300</v>
      </c>
      <c r="B1962" s="178" t="s">
        <v>270</v>
      </c>
      <c r="C1962" s="178">
        <v>0</v>
      </c>
      <c r="D1962" s="178">
        <v>0</v>
      </c>
      <c r="E1962" s="178">
        <v>0</v>
      </c>
      <c r="F1962">
        <v>0</v>
      </c>
      <c r="G1962" t="s">
        <v>497</v>
      </c>
    </row>
    <row r="1963" spans="1:9">
      <c r="A1963" s="178">
        <v>310</v>
      </c>
      <c r="B1963" s="178" t="s">
        <v>631</v>
      </c>
      <c r="C1963" s="178">
        <v>0</v>
      </c>
      <c r="D1963" s="178">
        <v>0</v>
      </c>
      <c r="E1963" s="178">
        <v>0</v>
      </c>
      <c r="F1963">
        <v>0</v>
      </c>
      <c r="G1963" t="s">
        <v>497</v>
      </c>
    </row>
    <row r="1964" spans="1:9">
      <c r="A1964" s="178">
        <v>320</v>
      </c>
      <c r="B1964" s="178" t="s">
        <v>271</v>
      </c>
      <c r="C1964" s="178">
        <v>0</v>
      </c>
      <c r="D1964" s="178">
        <v>0</v>
      </c>
      <c r="E1964" s="178">
        <v>0</v>
      </c>
      <c r="F1964">
        <v>0</v>
      </c>
      <c r="G1964" t="s">
        <v>497</v>
      </c>
    </row>
    <row r="1965" spans="1:9">
      <c r="A1965" s="178">
        <v>325</v>
      </c>
      <c r="B1965" s="178" t="s">
        <v>272</v>
      </c>
      <c r="C1965" s="178">
        <v>0</v>
      </c>
      <c r="D1965" s="178">
        <v>0</v>
      </c>
      <c r="E1965" s="178">
        <v>0</v>
      </c>
      <c r="F1965">
        <v>0</v>
      </c>
      <c r="G1965" t="s">
        <v>497</v>
      </c>
    </row>
    <row r="1966" spans="1:9">
      <c r="A1966" s="178">
        <v>330</v>
      </c>
      <c r="B1966" s="178" t="s">
        <v>691</v>
      </c>
      <c r="C1966" s="178">
        <v>0</v>
      </c>
      <c r="D1966" s="178">
        <v>5249626.68</v>
      </c>
      <c r="E1966" s="178">
        <v>5249626.68</v>
      </c>
      <c r="F1966">
        <v>0</v>
      </c>
      <c r="G1966" t="s">
        <v>497</v>
      </c>
    </row>
    <row r="1967" spans="1:9">
      <c r="A1967" s="178">
        <v>340</v>
      </c>
      <c r="B1967" s="178" t="s">
        <v>633</v>
      </c>
      <c r="C1967" s="178">
        <v>0</v>
      </c>
      <c r="D1967" s="178">
        <v>0</v>
      </c>
      <c r="E1967" s="178">
        <v>0</v>
      </c>
      <c r="F1967">
        <v>0</v>
      </c>
      <c r="G1967" t="s">
        <v>497</v>
      </c>
    </row>
    <row r="1968" spans="1:9">
      <c r="A1968" s="178">
        <v>380</v>
      </c>
      <c r="B1968" s="178" t="s">
        <v>634</v>
      </c>
      <c r="C1968" s="178">
        <v>0</v>
      </c>
      <c r="D1968" s="178">
        <v>5098242.68</v>
      </c>
      <c r="E1968" s="178">
        <v>5098242.68</v>
      </c>
      <c r="F1968">
        <v>0</v>
      </c>
      <c r="G1968" t="s">
        <v>497</v>
      </c>
    </row>
    <row r="1969" spans="1:9">
      <c r="A1969" s="178">
        <v>390</v>
      </c>
      <c r="B1969" s="178" t="s">
        <v>273</v>
      </c>
      <c r="C1969" s="178">
        <v>0</v>
      </c>
      <c r="D1969" s="178">
        <v>0</v>
      </c>
      <c r="E1969" s="178">
        <v>0</v>
      </c>
      <c r="F1969">
        <v>0</v>
      </c>
      <c r="G1969" t="s">
        <v>497</v>
      </c>
    </row>
    <row r="1970" spans="1:9">
      <c r="A1970" s="178">
        <v>400</v>
      </c>
      <c r="B1970" s="178" t="s">
        <v>274</v>
      </c>
      <c r="C1970" s="178">
        <v>0</v>
      </c>
      <c r="D1970" s="178">
        <v>0</v>
      </c>
      <c r="E1970" s="178">
        <v>0</v>
      </c>
      <c r="F1970">
        <v>0</v>
      </c>
      <c r="G1970" t="s">
        <v>497</v>
      </c>
    </row>
    <row r="1971" spans="1:9">
      <c r="A1971" s="178">
        <v>405</v>
      </c>
      <c r="B1971" s="178" t="s">
        <v>275</v>
      </c>
      <c r="C1971" s="178">
        <v>0</v>
      </c>
      <c r="D1971" s="178">
        <v>0</v>
      </c>
      <c r="E1971" s="178">
        <v>0</v>
      </c>
      <c r="F1971">
        <v>0</v>
      </c>
      <c r="G1971" t="s">
        <v>497</v>
      </c>
    </row>
    <row r="1972" spans="1:9">
      <c r="A1972" s="178">
        <v>410</v>
      </c>
      <c r="B1972" s="178" t="s">
        <v>276</v>
      </c>
      <c r="C1972" s="178">
        <v>0</v>
      </c>
      <c r="D1972" s="178">
        <v>2000</v>
      </c>
      <c r="E1972" s="178">
        <v>2000</v>
      </c>
      <c r="F1972">
        <v>0</v>
      </c>
      <c r="G1972" t="s">
        <v>497</v>
      </c>
    </row>
    <row r="1973" spans="1:9">
      <c r="A1973" s="178">
        <v>420</v>
      </c>
      <c r="B1973" s="178" t="s">
        <v>277</v>
      </c>
      <c r="C1973" s="178">
        <v>0</v>
      </c>
      <c r="D1973" s="178">
        <v>3594747.53</v>
      </c>
      <c r="E1973" s="178">
        <v>3594747.53</v>
      </c>
      <c r="F1973">
        <v>0</v>
      </c>
      <c r="G1973" t="s">
        <v>497</v>
      </c>
    </row>
    <row r="1974" spans="1:9">
      <c r="A1974" s="178">
        <v>425</v>
      </c>
      <c r="B1974" s="178" t="s">
        <v>635</v>
      </c>
      <c r="C1974" s="178">
        <v>0</v>
      </c>
      <c r="D1974" s="178">
        <v>0</v>
      </c>
      <c r="E1974" s="178">
        <v>0</v>
      </c>
      <c r="F1974">
        <v>0</v>
      </c>
      <c r="G1974" t="s">
        <v>497</v>
      </c>
    </row>
    <row r="1975" spans="1:9">
      <c r="A1975" s="178">
        <v>427</v>
      </c>
      <c r="B1975" s="178" t="s">
        <v>636</v>
      </c>
      <c r="C1975" s="178">
        <v>0</v>
      </c>
      <c r="D1975" s="178">
        <v>0</v>
      </c>
      <c r="E1975" s="178">
        <v>0</v>
      </c>
      <c r="F1975">
        <v>0</v>
      </c>
      <c r="G1975" t="s">
        <v>497</v>
      </c>
    </row>
    <row r="1976" spans="1:9">
      <c r="A1976" s="178">
        <v>430</v>
      </c>
      <c r="B1976" s="178" t="s">
        <v>279</v>
      </c>
      <c r="C1976" s="178">
        <v>0</v>
      </c>
      <c r="D1976" s="178">
        <v>-8457687.53</v>
      </c>
      <c r="E1976" s="178">
        <v>-8457687.53</v>
      </c>
      <c r="F1976">
        <v>0</v>
      </c>
      <c r="G1976" t="s">
        <v>497</v>
      </c>
    </row>
    <row r="1977" spans="1:9">
      <c r="A1977" s="178">
        <v>440</v>
      </c>
      <c r="B1977" s="178" t="s">
        <v>280</v>
      </c>
      <c r="C1977" s="178">
        <v>0</v>
      </c>
      <c r="D1977" s="178">
        <v>-4860940</v>
      </c>
      <c r="E1977" s="178">
        <v>-4860940</v>
      </c>
      <c r="F1977">
        <v>0</v>
      </c>
      <c r="G1977" t="s">
        <v>497</v>
      </c>
    </row>
    <row r="1978" spans="1:9">
      <c r="A1978" s="178">
        <v>450</v>
      </c>
      <c r="B1978" s="178" t="s">
        <v>281</v>
      </c>
      <c r="C1978" s="178">
        <v>0</v>
      </c>
      <c r="D1978" s="178">
        <v>0</v>
      </c>
      <c r="E1978" s="178">
        <v>0</v>
      </c>
      <c r="F1978">
        <v>0</v>
      </c>
      <c r="G1978" t="s">
        <v>497</v>
      </c>
    </row>
    <row r="1979" spans="1:9">
      <c r="A1979" s="178">
        <v>455</v>
      </c>
      <c r="B1979" s="178" t="s">
        <v>282</v>
      </c>
      <c r="C1979" s="178">
        <v>0</v>
      </c>
      <c r="D1979" s="178">
        <v>0</v>
      </c>
      <c r="E1979" s="178">
        <v>0</v>
      </c>
      <c r="F1979">
        <v>0</v>
      </c>
      <c r="G1979" t="s">
        <v>497</v>
      </c>
    </row>
    <row r="1980" spans="1:9">
      <c r="A1980" s="178">
        <v>456</v>
      </c>
      <c r="B1980" s="178" t="s">
        <v>637</v>
      </c>
      <c r="C1980" s="178">
        <v>0</v>
      </c>
      <c r="D1980" s="178">
        <v>23171</v>
      </c>
      <c r="E1980" s="178">
        <v>23171</v>
      </c>
      <c r="F1980">
        <v>0</v>
      </c>
      <c r="G1980" t="s">
        <v>497</v>
      </c>
    </row>
    <row r="1981" spans="1:9">
      <c r="A1981" s="178">
        <v>460</v>
      </c>
      <c r="B1981" s="178" t="s">
        <v>283</v>
      </c>
      <c r="C1981" s="178">
        <v>0</v>
      </c>
      <c r="D1981" s="178">
        <v>0</v>
      </c>
      <c r="E1981" s="178">
        <v>0</v>
      </c>
      <c r="F1981">
        <v>0</v>
      </c>
      <c r="G1981" t="s">
        <v>497</v>
      </c>
    </row>
    <row r="1982" spans="1:9">
      <c r="A1982" s="178">
        <v>470</v>
      </c>
      <c r="B1982" s="178" t="s">
        <v>638</v>
      </c>
      <c r="C1982" s="178">
        <v>0</v>
      </c>
      <c r="D1982" s="178">
        <v>0</v>
      </c>
      <c r="E1982" s="178">
        <v>0</v>
      </c>
      <c r="F1982">
        <v>0</v>
      </c>
      <c r="G1982" t="s">
        <v>497</v>
      </c>
    </row>
    <row r="1983" spans="1:9">
      <c r="A1983" s="178">
        <v>480</v>
      </c>
      <c r="B1983" s="178" t="s">
        <v>284</v>
      </c>
      <c r="C1983" s="178">
        <v>0</v>
      </c>
      <c r="D1983" s="178">
        <v>0</v>
      </c>
      <c r="E1983" s="178">
        <v>0</v>
      </c>
      <c r="F1983">
        <v>0</v>
      </c>
      <c r="G1983" t="s">
        <v>497</v>
      </c>
    </row>
    <row r="1984" spans="1:9">
      <c r="A1984" s="178">
        <v>490</v>
      </c>
      <c r="B1984" s="178" t="s">
        <v>639</v>
      </c>
      <c r="C1984" s="178">
        <v>0</v>
      </c>
      <c r="D1984" s="178">
        <v>0</v>
      </c>
      <c r="E1984" s="178">
        <v>0</v>
      </c>
      <c r="F1984">
        <v>0</v>
      </c>
      <c r="G1984" t="s">
        <v>497</v>
      </c>
    </row>
    <row r="1985" spans="1:9">
      <c r="A1985" s="178">
        <v>500</v>
      </c>
      <c r="B1985" s="178" t="s">
        <v>285</v>
      </c>
      <c r="C1985" s="178">
        <v>0</v>
      </c>
      <c r="D1985" s="178">
        <v>0</v>
      </c>
      <c r="E1985" s="178">
        <v>0</v>
      </c>
      <c r="F1985">
        <v>0</v>
      </c>
      <c r="G1985" t="s">
        <v>497</v>
      </c>
    </row>
    <row r="1986" spans="1:9">
      <c r="A1986" s="178">
        <v>510</v>
      </c>
      <c r="B1986" s="178" t="s">
        <v>640</v>
      </c>
      <c r="C1986" s="178">
        <v>0</v>
      </c>
      <c r="D1986" s="178">
        <v>0</v>
      </c>
      <c r="E1986" s="178">
        <v>0</v>
      </c>
      <c r="F1986">
        <v>0</v>
      </c>
      <c r="G1986" t="s">
        <v>497</v>
      </c>
    </row>
    <row r="1987" spans="1:9">
      <c r="A1987" s="178">
        <v>512</v>
      </c>
      <c r="B1987" s="178" t="s">
        <v>286</v>
      </c>
      <c r="C1987" s="178">
        <v>0</v>
      </c>
      <c r="D1987" s="178">
        <v>0</v>
      </c>
      <c r="E1987" s="178">
        <v>0</v>
      </c>
      <c r="F1987">
        <v>0</v>
      </c>
      <c r="G1987" t="s">
        <v>497</v>
      </c>
    </row>
    <row r="1988" spans="1:9">
      <c r="A1988" s="178">
        <v>514</v>
      </c>
      <c r="B1988" s="178" t="s">
        <v>641</v>
      </c>
      <c r="C1988" s="178">
        <v>0</v>
      </c>
      <c r="D1988" s="178">
        <v>0</v>
      </c>
      <c r="E1988" s="178">
        <v>0</v>
      </c>
      <c r="F1988">
        <v>0</v>
      </c>
      <c r="G1988" t="s">
        <v>497</v>
      </c>
    </row>
    <row r="1989" spans="1:9">
      <c r="A1989" s="178">
        <v>520</v>
      </c>
      <c r="B1989" s="178" t="s">
        <v>642</v>
      </c>
      <c r="C1989" s="178">
        <v>0</v>
      </c>
      <c r="D1989" s="178">
        <v>0</v>
      </c>
      <c r="E1989" s="178">
        <v>0</v>
      </c>
      <c r="F1989">
        <v>0</v>
      </c>
      <c r="G1989" t="s">
        <v>497</v>
      </c>
    </row>
    <row r="1990" spans="1:9">
      <c r="A1990" s="178">
        <v>530</v>
      </c>
      <c r="B1990" s="178" t="s">
        <v>643</v>
      </c>
      <c r="C1990" s="178">
        <v>0</v>
      </c>
      <c r="D1990" s="178">
        <v>0</v>
      </c>
      <c r="E1990" s="178">
        <v>0</v>
      </c>
      <c r="F1990">
        <v>0</v>
      </c>
      <c r="G1990" t="s">
        <v>497</v>
      </c>
    </row>
    <row r="1991" spans="1:9">
      <c r="A1991" s="178">
        <v>540</v>
      </c>
      <c r="B1991" s="178" t="s">
        <v>644</v>
      </c>
      <c r="C1991" s="178">
        <v>0</v>
      </c>
      <c r="D1991" s="178">
        <v>0</v>
      </c>
      <c r="E1991" s="178">
        <v>0</v>
      </c>
      <c r="F1991">
        <v>0</v>
      </c>
      <c r="G1991" t="s">
        <v>497</v>
      </c>
    </row>
    <row r="1992" spans="1:9">
      <c r="A1992" s="178">
        <v>550</v>
      </c>
      <c r="B1992" s="178" t="s">
        <v>645</v>
      </c>
      <c r="C1992" s="178">
        <v>0</v>
      </c>
      <c r="D1992" s="178">
        <v>0</v>
      </c>
      <c r="E1992" s="178">
        <v>0</v>
      </c>
      <c r="F1992">
        <v>0</v>
      </c>
      <c r="G1992" t="s">
        <v>497</v>
      </c>
    </row>
    <row r="1993" spans="1:9">
      <c r="A1993" s="178">
        <v>560</v>
      </c>
      <c r="B1993" s="178" t="s">
        <v>646</v>
      </c>
      <c r="C1993" s="178">
        <v>0</v>
      </c>
      <c r="D1993" s="178">
        <v>-61457.63</v>
      </c>
      <c r="E1993" s="178">
        <v>-61457.63</v>
      </c>
      <c r="F1993">
        <v>0</v>
      </c>
      <c r="G1993" t="s">
        <v>497</v>
      </c>
    </row>
    <row r="1994" spans="1:9">
      <c r="A1994" s="178">
        <v>570</v>
      </c>
      <c r="B1994" s="178" t="s">
        <v>647</v>
      </c>
      <c r="C1994" s="178">
        <v>0</v>
      </c>
      <c r="D1994" s="178">
        <v>61457.63</v>
      </c>
      <c r="E1994" s="178">
        <v>61457.63</v>
      </c>
      <c r="F1994">
        <v>0</v>
      </c>
      <c r="G1994" t="s">
        <v>497</v>
      </c>
    </row>
    <row r="1995" spans="1:9">
      <c r="A1995" s="178">
        <v>580</v>
      </c>
      <c r="B1995" s="178" t="s">
        <v>290</v>
      </c>
      <c r="C1995" s="178">
        <v>0</v>
      </c>
      <c r="D1995" s="178">
        <v>0</v>
      </c>
      <c r="E1995" s="178">
        <v>0</v>
      </c>
      <c r="F1995">
        <v>0</v>
      </c>
      <c r="G1995" t="s">
        <v>497</v>
      </c>
    </row>
    <row r="1996" spans="1:9">
      <c r="A1996" s="178">
        <v>590</v>
      </c>
      <c r="B1996" s="178" t="s">
        <v>648</v>
      </c>
      <c r="C1996" s="178">
        <v>0</v>
      </c>
      <c r="D1996" s="178">
        <v>0</v>
      </c>
      <c r="E1996" s="178">
        <v>0</v>
      </c>
      <c r="F1996">
        <v>0</v>
      </c>
      <c r="G1996" t="s">
        <v>497</v>
      </c>
    </row>
    <row r="1997" spans="1:9">
      <c r="A1997" s="178">
        <v>600</v>
      </c>
      <c r="B1997" s="178" t="s">
        <v>291</v>
      </c>
      <c r="C1997" s="178">
        <v>0</v>
      </c>
      <c r="D1997" s="178">
        <v>-255096</v>
      </c>
      <c r="E1997" s="178">
        <v>-255096</v>
      </c>
      <c r="F1997">
        <v>0</v>
      </c>
      <c r="G1997" t="s">
        <v>497</v>
      </c>
    </row>
    <row r="1998" spans="1:9">
      <c r="A1998" s="178">
        <v>610</v>
      </c>
      <c r="B1998" s="178" t="s">
        <v>649</v>
      </c>
      <c r="C1998" s="178">
        <v>0</v>
      </c>
      <c r="D1998" s="178">
        <v>0</v>
      </c>
      <c r="E1998" s="178">
        <v>0</v>
      </c>
      <c r="F1998">
        <v>0</v>
      </c>
      <c r="G1998" t="s">
        <v>497</v>
      </c>
    </row>
    <row r="1999" spans="1:9">
      <c r="A1999" s="178">
        <v>615</v>
      </c>
      <c r="B1999" s="178" t="s">
        <v>674</v>
      </c>
      <c r="C1999" s="178">
        <v>0</v>
      </c>
      <c r="D1999" s="178">
        <v>0</v>
      </c>
      <c r="E1999" s="178">
        <v>0</v>
      </c>
      <c r="F1999">
        <v>0</v>
      </c>
      <c r="G1999" t="s">
        <v>497</v>
      </c>
    </row>
    <row r="2000" spans="1:9">
      <c r="A2000" s="178">
        <v>620</v>
      </c>
      <c r="B2000" s="178" t="s">
        <v>292</v>
      </c>
      <c r="C2000" s="178">
        <v>0</v>
      </c>
      <c r="D2000" s="178">
        <v>0</v>
      </c>
      <c r="E2000" s="178">
        <v>0</v>
      </c>
      <c r="F2000">
        <v>0</v>
      </c>
      <c r="G2000" t="s">
        <v>497</v>
      </c>
    </row>
    <row r="2001" spans="1:9">
      <c r="A2001" s="178">
        <v>630</v>
      </c>
      <c r="B2001" s="178" t="s">
        <v>293</v>
      </c>
      <c r="C2001" s="178">
        <v>0</v>
      </c>
      <c r="D2001" s="178">
        <v>-151384</v>
      </c>
      <c r="E2001" s="178">
        <v>-151384</v>
      </c>
      <c r="F2001">
        <v>0</v>
      </c>
      <c r="G2001" t="s">
        <v>497</v>
      </c>
    </row>
    <row r="2002" spans="1:9">
      <c r="A2002" s="178">
        <v>635</v>
      </c>
      <c r="B2002" s="178" t="s">
        <v>675</v>
      </c>
      <c r="C2002" s="178">
        <v>0</v>
      </c>
      <c r="D2002" s="178">
        <v>0</v>
      </c>
      <c r="E2002" s="178">
        <v>0</v>
      </c>
      <c r="F2002">
        <v>0</v>
      </c>
      <c r="G2002" t="s">
        <v>497</v>
      </c>
    </row>
    <row r="2003" spans="1:9">
      <c r="A2003" s="178">
        <v>640</v>
      </c>
      <c r="B2003" s="178" t="s">
        <v>294</v>
      </c>
      <c r="C2003" s="178">
        <v>0</v>
      </c>
      <c r="D2003" s="178">
        <v>-383309</v>
      </c>
      <c r="E2003" s="178">
        <v>-383309</v>
      </c>
      <c r="F2003">
        <v>0</v>
      </c>
      <c r="G2003" t="s">
        <v>497</v>
      </c>
    </row>
    <row r="2004" spans="1:9">
      <c r="A2004" s="178">
        <v>650</v>
      </c>
      <c r="B2004" s="178" t="s">
        <v>295</v>
      </c>
      <c r="C2004" s="178">
        <v>-10</v>
      </c>
      <c r="D2004" s="178">
        <v>-146006.32</v>
      </c>
      <c r="E2004" s="178">
        <v>-146016.32</v>
      </c>
      <c r="F2004">
        <v>-10</v>
      </c>
      <c r="G2004" t="s">
        <v>497</v>
      </c>
    </row>
    <row r="2005" spans="1:9">
      <c r="A2005" s="178"/>
      <c r="B2005" s="178"/>
      <c r="C2005" s="178"/>
      <c r="D2005" s="178"/>
      <c r="E2005" s="178"/>
      <c r="F2005"/>
      <c r="G20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ELIM">
    <outlinePr summaryBelow="1" summaryRight="1"/>
  </sheetPr>
  <dimension ref="A1:O12"/>
  <sheetViews>
    <sheetView tabSelected="0" workbookViewId="0" showGridLines="true" showRowColHeaders="1">
      <selection activeCell="A1" sqref="A1:O12"/>
    </sheetView>
  </sheetViews>
  <sheetFormatPr defaultRowHeight="14.4" defaultColWidth="8.7265625" outlineLevelRow="0" outlineLevelCol="0"/>
  <cols>
    <col min="1" max="1" width="8.7265625" style="178"/>
    <col min="2" max="2" width="8.7265625" style="178"/>
    <col min="3" max="3" width="10.81640625" customWidth="true" style="178"/>
    <col min="4" max="4" width="8.7265625" style="178"/>
  </cols>
  <sheetData>
    <row r="1" spans="1:15">
      <c r="A1" s="178" t="s">
        <v>428</v>
      </c>
      <c r="B1" s="178" t="s">
        <v>402</v>
      </c>
      <c r="C1" s="178" t="s">
        <v>693</v>
      </c>
      <c r="D1" s="178" t="s">
        <v>694</v>
      </c>
      <c r="E1" t="s">
        <v>693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405</v>
      </c>
    </row>
    <row r="2" spans="1:15">
      <c r="A2" s="178">
        <v>10</v>
      </c>
      <c r="B2" s="178" t="s">
        <v>406</v>
      </c>
      <c r="C2" s="178">
        <v>1406881.34</v>
      </c>
      <c r="D2" s="178">
        <v>1406881.34</v>
      </c>
      <c r="E2">
        <v>1137898.59</v>
      </c>
      <c r="F2">
        <v>1137898.59</v>
      </c>
      <c r="G2">
        <v>2356653.53</v>
      </c>
      <c r="H2">
        <v>1255849.11</v>
      </c>
      <c r="I2">
        <v>1152103.26</v>
      </c>
      <c r="J2">
        <v>1172770.13</v>
      </c>
      <c r="K2">
        <v>1221599.91</v>
      </c>
      <c r="L2">
        <v>1137898.59</v>
      </c>
      <c r="M2">
        <v>2039268.61</v>
      </c>
      <c r="N2">
        <v>1064216.56</v>
      </c>
      <c r="O2" t="s">
        <v>497</v>
      </c>
    </row>
    <row r="3" spans="1:15">
      <c r="A3" s="178" t="s">
        <v>430</v>
      </c>
      <c r="B3" s="178" t="s">
        <v>402</v>
      </c>
      <c r="C3" s="178" t="s">
        <v>704</v>
      </c>
      <c r="D3" s="178" t="s">
        <v>705</v>
      </c>
      <c r="E3" t="s">
        <v>706</v>
      </c>
      <c r="F3" t="s">
        <v>707</v>
      </c>
      <c r="G3" t="s">
        <v>708</v>
      </c>
      <c r="H3" t="s">
        <v>709</v>
      </c>
      <c r="I3" t="s">
        <v>710</v>
      </c>
      <c r="J3" t="s">
        <v>711</v>
      </c>
      <c r="K3" t="s">
        <v>712</v>
      </c>
      <c r="L3" t="s">
        <v>713</v>
      </c>
      <c r="M3" t="s">
        <v>714</v>
      </c>
      <c r="N3" t="s">
        <v>715</v>
      </c>
      <c r="O3" t="s">
        <v>405</v>
      </c>
    </row>
    <row r="4" spans="1:15">
      <c r="A4" s="178">
        <v>10</v>
      </c>
      <c r="B4" s="178" t="s">
        <v>406</v>
      </c>
      <c r="C4" s="178">
        <v>9194024.47</v>
      </c>
      <c r="D4" s="178">
        <v>9194024.47</v>
      </c>
      <c r="E4">
        <v>8850727.47</v>
      </c>
      <c r="F4">
        <v>8850727.47</v>
      </c>
      <c r="G4">
        <v>11049752.8</v>
      </c>
      <c r="H4">
        <v>9851506.55</v>
      </c>
      <c r="I4">
        <v>8882316.94</v>
      </c>
      <c r="J4">
        <v>8199756.58</v>
      </c>
      <c r="K4">
        <v>10055090.93</v>
      </c>
      <c r="L4">
        <v>8850727.47</v>
      </c>
      <c r="M4">
        <v>11563280.32</v>
      </c>
      <c r="N4">
        <v>8824826.43</v>
      </c>
      <c r="O4" t="s">
        <v>497</v>
      </c>
    </row>
    <row r="5" spans="1:15">
      <c r="A5" s="178" t="s">
        <v>432</v>
      </c>
      <c r="B5" s="178" t="s">
        <v>402</v>
      </c>
      <c r="C5" s="178" t="s">
        <v>704</v>
      </c>
      <c r="D5" s="178" t="s">
        <v>716</v>
      </c>
      <c r="E5" t="s">
        <v>717</v>
      </c>
      <c r="F5" t="s">
        <v>718</v>
      </c>
      <c r="G5" t="s">
        <v>708</v>
      </c>
      <c r="H5" t="s">
        <v>719</v>
      </c>
      <c r="I5" t="s">
        <v>698</v>
      </c>
      <c r="J5" t="s">
        <v>720</v>
      </c>
      <c r="K5" t="s">
        <v>721</v>
      </c>
      <c r="L5" t="s">
        <v>701</v>
      </c>
      <c r="M5" t="s">
        <v>702</v>
      </c>
      <c r="N5" t="s">
        <v>702</v>
      </c>
      <c r="O5" t="s">
        <v>405</v>
      </c>
    </row>
    <row r="6" spans="1:15">
      <c r="A6" s="178">
        <v>10</v>
      </c>
      <c r="B6" s="178" t="s">
        <v>406</v>
      </c>
      <c r="C6" s="178">
        <v>3454255.34</v>
      </c>
      <c r="D6" s="178">
        <v>3454255.34</v>
      </c>
      <c r="E6">
        <v>3298210</v>
      </c>
      <c r="F6">
        <v>3298210</v>
      </c>
      <c r="G6">
        <v>3228210</v>
      </c>
      <c r="H6">
        <v>3228210</v>
      </c>
      <c r="I6">
        <v>3228210</v>
      </c>
      <c r="J6">
        <v>3228210</v>
      </c>
      <c r="K6">
        <v>3228210</v>
      </c>
      <c r="L6">
        <v>3298210</v>
      </c>
      <c r="M6">
        <v>3186062</v>
      </c>
      <c r="N6">
        <v>3186062</v>
      </c>
      <c r="O6" t="s">
        <v>497</v>
      </c>
    </row>
    <row r="7" spans="1:15">
      <c r="A7" s="178" t="s">
        <v>435</v>
      </c>
      <c r="B7" s="178" t="s">
        <v>402</v>
      </c>
      <c r="C7" s="178" t="s">
        <v>722</v>
      </c>
      <c r="D7" s="178" t="s">
        <v>723</v>
      </c>
      <c r="E7" t="s">
        <v>724</v>
      </c>
      <c r="F7" t="s">
        <v>725</v>
      </c>
      <c r="G7" t="s">
        <v>708</v>
      </c>
      <c r="H7" t="s">
        <v>719</v>
      </c>
      <c r="I7" t="s">
        <v>698</v>
      </c>
      <c r="J7" t="s">
        <v>720</v>
      </c>
      <c r="K7" t="s">
        <v>721</v>
      </c>
      <c r="L7" t="s">
        <v>701</v>
      </c>
      <c r="M7" t="s">
        <v>702</v>
      </c>
      <c r="N7" t="s">
        <v>702</v>
      </c>
      <c r="O7" t="s">
        <v>405</v>
      </c>
    </row>
    <row r="8" spans="1:15">
      <c r="A8" s="178">
        <v>10</v>
      </c>
      <c r="B8" s="178" t="s">
        <v>406</v>
      </c>
      <c r="C8" s="178">
        <v>88028.39</v>
      </c>
      <c r="D8" s="178">
        <v>88028.39</v>
      </c>
      <c r="E8">
        <v>115575.07</v>
      </c>
      <c r="F8">
        <v>115575.07</v>
      </c>
      <c r="G8">
        <v>120595.89</v>
      </c>
      <c r="H8">
        <v>93486.43</v>
      </c>
      <c r="I8">
        <v>110036.32</v>
      </c>
      <c r="J8">
        <v>159916.74</v>
      </c>
      <c r="K8">
        <v>131713.93</v>
      </c>
      <c r="L8">
        <v>115575.07</v>
      </c>
      <c r="M8">
        <v>169738.07</v>
      </c>
      <c r="N8">
        <v>124081.92</v>
      </c>
      <c r="O8" t="s">
        <v>497</v>
      </c>
    </row>
    <row r="9" spans="1:15">
      <c r="A9" s="178" t="s">
        <v>436</v>
      </c>
      <c r="B9" s="178" t="s">
        <v>402</v>
      </c>
      <c r="C9" s="178" t="s">
        <v>704</v>
      </c>
      <c r="D9" s="178" t="s">
        <v>716</v>
      </c>
      <c r="E9" t="s">
        <v>717</v>
      </c>
      <c r="F9" t="s">
        <v>718</v>
      </c>
      <c r="G9" t="s">
        <v>708</v>
      </c>
      <c r="H9" t="s">
        <v>719</v>
      </c>
      <c r="I9" t="s">
        <v>698</v>
      </c>
      <c r="J9" t="s">
        <v>720</v>
      </c>
      <c r="K9" t="s">
        <v>721</v>
      </c>
      <c r="L9" t="s">
        <v>701</v>
      </c>
      <c r="M9" t="s">
        <v>702</v>
      </c>
      <c r="N9" t="s">
        <v>703</v>
      </c>
      <c r="O9" t="s">
        <v>405</v>
      </c>
    </row>
    <row r="10" spans="1:15">
      <c r="A10" s="178">
        <v>10</v>
      </c>
      <c r="B10" s="178" t="s">
        <v>406</v>
      </c>
      <c r="C10" s="178">
        <v>264060</v>
      </c>
      <c r="D10" s="178">
        <v>264060</v>
      </c>
      <c r="E10">
        <v>254662</v>
      </c>
      <c r="F10">
        <v>254662</v>
      </c>
      <c r="G10">
        <v>254662</v>
      </c>
      <c r="H10">
        <v>254662</v>
      </c>
      <c r="I10">
        <v>254662</v>
      </c>
      <c r="J10">
        <v>254662</v>
      </c>
      <c r="K10">
        <v>254662</v>
      </c>
      <c r="L10">
        <v>254662</v>
      </c>
      <c r="M10">
        <v>246003</v>
      </c>
      <c r="N10">
        <v>246003</v>
      </c>
      <c r="O10" t="s">
        <v>497</v>
      </c>
    </row>
    <row r="11" spans="1:15">
      <c r="A11" s="178"/>
      <c r="B11" s="178"/>
      <c r="C11" s="178"/>
      <c r="D11" s="178"/>
      <c r="E11"/>
      <c r="F11"/>
      <c r="G11"/>
      <c r="H11"/>
      <c r="I11"/>
      <c r="J11"/>
      <c r="K11"/>
      <c r="L11"/>
      <c r="M11"/>
      <c r="N11"/>
      <c r="O11"/>
    </row>
    <row r="12" spans="1:15">
      <c r="A12" s="178"/>
      <c r="B12" s="178"/>
      <c r="C12" s="178"/>
      <c r="D12" s="178"/>
      <c r="E12"/>
      <c r="F12"/>
      <c r="G12"/>
      <c r="H12"/>
      <c r="I12"/>
      <c r="J12"/>
      <c r="K12"/>
      <c r="L12"/>
      <c r="M12"/>
      <c r="N12"/>
      <c r="O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codeName="otros">
    <outlinePr summaryBelow="1" summaryRight="1"/>
  </sheetPr>
  <dimension ref="A1:AD55"/>
  <sheetViews>
    <sheetView tabSelected="0" workbookViewId="0" zoomScale="60" zoomScaleNormal="60" showGridLines="false" showRowColHeaders="1">
      <selection activeCell="A28" sqref="A28:AD28"/>
    </sheetView>
  </sheetViews>
  <sheetFormatPr defaultRowHeight="14.4" outlineLevelRow="0" outlineLevelCol="0"/>
  <cols>
    <col min="4" max="4" width="11.54296875" customWidth="true" style="0"/>
    <col min="5" max="5" width="15" customWidth="true" style="0"/>
  </cols>
  <sheetData>
    <row r="11" spans="1:30" customHeight="1" ht="20">
      <c r="E11" s="284" t="s">
        <v>726</v>
      </c>
    </row>
    <row r="28" spans="1:30">
      <c r="A28" s="26" t="s">
        <v>155</v>
      </c>
      <c r="B28" s="2" t="s">
        <v>68</v>
      </c>
      <c r="C28" s="2" t="s">
        <v>69</v>
      </c>
      <c r="D28" s="2" t="s">
        <v>70</v>
      </c>
      <c r="E28" s="2" t="s">
        <v>71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74</v>
      </c>
      <c r="M28" s="2" t="s">
        <v>75</v>
      </c>
      <c r="N28" s="2" t="s">
        <v>76</v>
      </c>
      <c r="O28" s="2" t="s">
        <v>77</v>
      </c>
      <c r="P28" s="2" t="s">
        <v>78</v>
      </c>
      <c r="Q28" s="2" t="s">
        <v>79</v>
      </c>
      <c r="R28" s="2" t="s">
        <v>80</v>
      </c>
      <c r="S28" s="2" t="s">
        <v>92</v>
      </c>
      <c r="T28" s="2" t="s">
        <v>93</v>
      </c>
      <c r="U28" s="2" t="s">
        <v>122</v>
      </c>
      <c r="V28" s="2" t="s">
        <v>94</v>
      </c>
      <c r="W28" s="2" t="s">
        <v>95</v>
      </c>
      <c r="X28" s="2" t="s">
        <v>96</v>
      </c>
      <c r="Y28" s="2" t="s">
        <v>97</v>
      </c>
      <c r="Z28" s="2" t="s">
        <v>98</v>
      </c>
      <c r="AA28" s="2" t="s">
        <v>99</v>
      </c>
      <c r="AB28" s="2" t="s">
        <v>100</v>
      </c>
      <c r="AC28" s="2" t="s">
        <v>101</v>
      </c>
      <c r="AD28" s="2" t="s">
        <v>102</v>
      </c>
    </row>
    <row r="29" spans="1:30">
      <c r="A29" s="7" t="s">
        <v>727</v>
      </c>
    </row>
    <row r="30" spans="1:30">
      <c r="A30" s="7" t="s">
        <v>26</v>
      </c>
    </row>
    <row r="31" spans="1:30">
      <c r="A31" s="7" t="s">
        <v>27</v>
      </c>
    </row>
    <row r="32" spans="1:30">
      <c r="A32" s="7" t="s">
        <v>29</v>
      </c>
    </row>
    <row r="33" spans="1:30">
      <c r="A33" s="7" t="s">
        <v>30</v>
      </c>
    </row>
    <row r="34" spans="1:30">
      <c r="A34" s="7" t="s">
        <v>31</v>
      </c>
    </row>
    <row r="35" spans="1:30">
      <c r="A35" s="7" t="s">
        <v>36</v>
      </c>
    </row>
    <row r="36" spans="1:30">
      <c r="A36" s="7" t="s">
        <v>38</v>
      </c>
    </row>
    <row r="37" spans="1:30">
      <c r="A37" s="7" t="s">
        <v>39</v>
      </c>
    </row>
    <row r="38" spans="1:30">
      <c r="A38" s="7" t="s">
        <v>40</v>
      </c>
    </row>
    <row r="39" spans="1:30">
      <c r="A39" s="7" t="s">
        <v>115</v>
      </c>
    </row>
    <row r="40" spans="1:30">
      <c r="A40" s="7" t="s">
        <v>44</v>
      </c>
    </row>
    <row r="41" spans="1:30">
      <c r="A41" s="7" t="s">
        <v>45</v>
      </c>
    </row>
    <row r="42" spans="1:30">
      <c r="A42" s="26" t="s">
        <v>158</v>
      </c>
    </row>
    <row r="43" spans="1:30">
      <c r="A43" s="7" t="s">
        <v>727</v>
      </c>
    </row>
    <row r="44" spans="1:30">
      <c r="A44" s="7" t="s">
        <v>26</v>
      </c>
    </row>
    <row r="45" spans="1:30">
      <c r="A45" s="7" t="s">
        <v>27</v>
      </c>
    </row>
    <row r="46" spans="1:30">
      <c r="A46" s="7" t="s">
        <v>29</v>
      </c>
    </row>
    <row r="47" spans="1:30">
      <c r="A47" s="7" t="s">
        <v>30</v>
      </c>
    </row>
    <row r="48" spans="1:30">
      <c r="A48" s="7" t="s">
        <v>31</v>
      </c>
    </row>
    <row r="49" spans="1:30">
      <c r="A49" s="7" t="s">
        <v>36</v>
      </c>
    </row>
    <row r="50" spans="1:30">
      <c r="A50" s="7" t="s">
        <v>38</v>
      </c>
    </row>
    <row r="51" spans="1:30">
      <c r="A51" s="7" t="s">
        <v>39</v>
      </c>
    </row>
    <row r="52" spans="1:30">
      <c r="A52" s="7" t="s">
        <v>40</v>
      </c>
    </row>
    <row r="53" spans="1:30">
      <c r="A53" s="7" t="s">
        <v>115</v>
      </c>
    </row>
    <row r="54" spans="1:30">
      <c r="A54" s="7" t="s">
        <v>44</v>
      </c>
    </row>
    <row r="55" spans="1:30">
      <c r="A55" s="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Inicio</vt:lpstr>
      <vt:lpstr>TablasER</vt:lpstr>
      <vt:lpstr>TablasERxDiv</vt:lpstr>
      <vt:lpstr>variacion</vt:lpstr>
      <vt:lpstr>division</vt:lpstr>
      <vt:lpstr>ajustes</vt:lpstr>
      <vt:lpstr>proyeccion</vt:lpstr>
      <vt:lpstr>mxn-dll</vt:lpstr>
      <vt:lpstr>Costos_Gastos</vt:lpstr>
      <vt:lpstr>Tendencias</vt:lpstr>
      <vt:lpstr>FE</vt:lpstr>
      <vt:lpstr>BG</vt:lpstr>
      <vt:lpstr>BDER_sig</vt:lpstr>
      <vt:lpstr>BDER</vt:lpstr>
      <vt:lpstr>BDBG</vt:lpstr>
      <vt:lpstr>BDFE</vt:lpstr>
      <vt:lpstr>ELIM</vt:lpstr>
      <vt:lpstr>otros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2019-10-01T10:17:12-05:00</dcterms:created>
  <dcterms:modified xsi:type="dcterms:W3CDTF">2021-06-24T11:29:13-05:00</dcterms:modified>
  <dc:title/>
  <dc:description/>
  <dc:subject/>
  <cp:keywords/>
  <cp:category/>
</cp:coreProperties>
</file>